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bdel\Documents\T 5\BUREAU POL GV\Contentieux Subvention 2025_2026\"/>
    </mc:Choice>
  </mc:AlternateContent>
  <xr:revisionPtr revIDLastSave="0" documentId="8_{CD7619C8-2E74-4006-9ED4-4878A7F838CF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ompta" sheetId="7" r:id="rId1"/>
    <sheet name="Bilan" sheetId="9" r:id="rId2"/>
    <sheet name="Code Ligne compte" sheetId="10" r:id="rId3"/>
    <sheet name="Compta (2)" sheetId="11" state="hidden" r:id="rId4"/>
    <sheet name="Recettes" sheetId="12" state="hidden" r:id="rId5"/>
    <sheet name="Dépenses" sheetId="13" state="hidden" r:id="rId6"/>
  </sheets>
  <definedNames>
    <definedName name="_xlnm._FilterDatabase" localSheetId="0" hidden="1">Compta!$B$6:$G$554</definedName>
    <definedName name="_xlnm._FilterDatabase" localSheetId="3" hidden="1">'Compta (2)'!$B$566:$G$768</definedName>
    <definedName name="_xlnm.Print_Area" localSheetId="1">Bilan!$A$1:$K$68</definedName>
    <definedName name="_xlnm.Print_Area" localSheetId="2">'Code Ligne compte'!$A$1:$C$117</definedName>
    <definedName name="_xlnm.Print_Area" localSheetId="0">Compta!$B$1:$H$778</definedName>
    <definedName name="_xlnm.Print_Area" localSheetId="3">'Compta (2)'!$A$552:$G$769</definedName>
    <definedName name="_xlnm.Print_Area" localSheetId="5">Dépenses!$A$1:$N$48</definedName>
    <definedName name="_xlnm.Print_Area" localSheetId="4">Recettes!$A$1:$M$41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267" i="7" l="1"/>
  <c r="O290" i="7"/>
  <c r="P290" i="7" s="1"/>
  <c r="Q288" i="7" l="1"/>
  <c r="Q289" i="7" s="1"/>
  <c r="F300" i="7" l="1"/>
  <c r="E299" i="7"/>
  <c r="Q265" i="7" l="1"/>
  <c r="Q266" i="7" s="1"/>
  <c r="F244" i="7" l="1"/>
  <c r="F243" i="7"/>
  <c r="F242" i="7"/>
  <c r="Q240" i="7" l="1"/>
  <c r="Q241" i="7" s="1"/>
  <c r="Q228" i="7" l="1"/>
  <c r="Q229" i="7" s="1"/>
  <c r="Q215" i="7" l="1"/>
  <c r="Q216" i="7" s="1"/>
  <c r="Q204" i="7" l="1"/>
  <c r="Q205" i="7" s="1"/>
  <c r="Q188" i="7"/>
  <c r="Q189" i="7" s="1"/>
  <c r="I8" i="7" l="1"/>
  <c r="G8" i="7"/>
  <c r="G9" i="7" s="1"/>
  <c r="Q171" i="7" l="1"/>
  <c r="Q172" i="7" s="1"/>
  <c r="Q154" i="7" l="1"/>
  <c r="Q155" i="7" l="1"/>
  <c r="Q139" i="7" l="1"/>
  <c r="Q140" i="7" s="1"/>
  <c r="I137" i="7" l="1"/>
  <c r="Q116" i="7" l="1"/>
  <c r="Q117" i="7" s="1"/>
  <c r="Q69" i="7" l="1"/>
  <c r="Q70" i="7" s="1"/>
  <c r="I9" i="7" l="1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1" i="7"/>
  <c r="I32" i="7"/>
  <c r="I33" i="7"/>
  <c r="I34" i="7"/>
  <c r="I35" i="7"/>
  <c r="I36" i="7"/>
  <c r="I37" i="7"/>
  <c r="I38" i="7"/>
  <c r="I39" i="7"/>
  <c r="I40" i="7"/>
  <c r="I41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4" i="7"/>
  <c r="I65" i="7"/>
  <c r="I66" i="7"/>
  <c r="I67" i="7"/>
  <c r="I68" i="7"/>
  <c r="I69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9" i="7"/>
  <c r="I140" i="7"/>
  <c r="I141" i="7"/>
  <c r="I142" i="7"/>
  <c r="I144" i="7"/>
  <c r="I146" i="7"/>
  <c r="I147" i="7"/>
  <c r="I148" i="7"/>
  <c r="I149" i="7"/>
  <c r="I150" i="7"/>
  <c r="I151" i="7"/>
  <c r="I152" i="7"/>
  <c r="I153" i="7"/>
  <c r="I154" i="7"/>
  <c r="I156" i="7"/>
  <c r="I157" i="7"/>
  <c r="I158" i="7"/>
  <c r="I159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2" i="7"/>
  <c r="I193" i="7"/>
  <c r="I194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9" i="7"/>
  <c r="I220" i="7"/>
  <c r="I221" i="7"/>
  <c r="I222" i="7"/>
  <c r="I223" i="7"/>
  <c r="I224" i="7"/>
  <c r="I225" i="7"/>
  <c r="I226" i="7"/>
  <c r="I227" i="7"/>
  <c r="I228" i="7"/>
  <c r="I229" i="7"/>
  <c r="I231" i="7"/>
  <c r="I232" i="7"/>
  <c r="I233" i="7"/>
  <c r="I234" i="7"/>
  <c r="I235" i="7"/>
  <c r="I236" i="7"/>
  <c r="I237" i="7"/>
  <c r="I238" i="7"/>
  <c r="I239" i="7"/>
  <c r="I240" i="7"/>
  <c r="I241" i="7"/>
  <c r="I242" i="7"/>
  <c r="I243" i="7"/>
  <c r="I244" i="7"/>
  <c r="I245" i="7"/>
  <c r="I246" i="7"/>
  <c r="I247" i="7"/>
  <c r="I249" i="7"/>
  <c r="I250" i="7"/>
  <c r="I251" i="7"/>
  <c r="I252" i="7"/>
  <c r="I253" i="7"/>
  <c r="I254" i="7"/>
  <c r="I255" i="7"/>
  <c r="I256" i="7"/>
  <c r="I257" i="7"/>
  <c r="I258" i="7"/>
  <c r="I259" i="7"/>
  <c r="I260" i="7"/>
  <c r="I261" i="7"/>
  <c r="I262" i="7"/>
  <c r="I263" i="7"/>
  <c r="I264" i="7"/>
  <c r="I265" i="7"/>
  <c r="I266" i="7"/>
  <c r="I267" i="7"/>
  <c r="I268" i="7"/>
  <c r="I269" i="7"/>
  <c r="I270" i="7"/>
  <c r="I271" i="7"/>
  <c r="I272" i="7"/>
  <c r="I273" i="7"/>
  <c r="I274" i="7"/>
  <c r="I275" i="7"/>
  <c r="I276" i="7"/>
  <c r="I277" i="7"/>
  <c r="O288" i="7" l="1"/>
  <c r="O289" i="7" s="1"/>
  <c r="O265" i="7"/>
  <c r="O266" i="7" s="1"/>
  <c r="O240" i="7"/>
  <c r="O241" i="7" s="1"/>
  <c r="O215" i="7"/>
  <c r="O216" i="7" s="1"/>
  <c r="O188" i="7"/>
  <c r="O189" i="7" s="1"/>
  <c r="O228" i="7"/>
  <c r="O229" i="7" s="1"/>
  <c r="O204" i="7"/>
  <c r="O205" i="7" s="1"/>
  <c r="O171" i="7"/>
  <c r="O172" i="7" s="1"/>
  <c r="O154" i="7"/>
  <c r="O155" i="7" s="1"/>
  <c r="O139" i="7"/>
  <c r="O140" i="7" s="1"/>
  <c r="O116" i="7"/>
  <c r="O117" i="7" s="1"/>
  <c r="O69" i="7"/>
  <c r="O70" i="7" s="1"/>
  <c r="I550" i="7"/>
  <c r="I549" i="7"/>
  <c r="I548" i="7"/>
  <c r="I547" i="7"/>
  <c r="I546" i="7"/>
  <c r="I545" i="7"/>
  <c r="I544" i="7"/>
  <c r="I543" i="7"/>
  <c r="I542" i="7"/>
  <c r="I541" i="7"/>
  <c r="I540" i="7"/>
  <c r="I539" i="7"/>
  <c r="I538" i="7"/>
  <c r="I537" i="7"/>
  <c r="I536" i="7"/>
  <c r="I535" i="7"/>
  <c r="I534" i="7"/>
  <c r="I533" i="7"/>
  <c r="I532" i="7"/>
  <c r="I531" i="7"/>
  <c r="I530" i="7"/>
  <c r="I529" i="7"/>
  <c r="I528" i="7"/>
  <c r="I527" i="7"/>
  <c r="I526" i="7"/>
  <c r="I525" i="7"/>
  <c r="I524" i="7"/>
  <c r="I523" i="7"/>
  <c r="I522" i="7"/>
  <c r="I521" i="7"/>
  <c r="I520" i="7"/>
  <c r="I519" i="7"/>
  <c r="I518" i="7"/>
  <c r="I517" i="7"/>
  <c r="I516" i="7"/>
  <c r="I515" i="7"/>
  <c r="I514" i="7"/>
  <c r="I513" i="7"/>
  <c r="I512" i="7"/>
  <c r="I511" i="7"/>
  <c r="I510" i="7"/>
  <c r="I509" i="7"/>
  <c r="I508" i="7"/>
  <c r="I507" i="7"/>
  <c r="I506" i="7"/>
  <c r="I505" i="7"/>
  <c r="I504" i="7"/>
  <c r="I503" i="7"/>
  <c r="I502" i="7"/>
  <c r="I501" i="7"/>
  <c r="I500" i="7"/>
  <c r="I499" i="7"/>
  <c r="I498" i="7"/>
  <c r="I497" i="7"/>
  <c r="I496" i="7"/>
  <c r="I495" i="7"/>
  <c r="I494" i="7"/>
  <c r="I493" i="7"/>
  <c r="I492" i="7"/>
  <c r="I491" i="7"/>
  <c r="I490" i="7"/>
  <c r="I489" i="7"/>
  <c r="I488" i="7"/>
  <c r="I487" i="7"/>
  <c r="I486" i="7"/>
  <c r="I485" i="7"/>
  <c r="I484" i="7"/>
  <c r="I483" i="7"/>
  <c r="I482" i="7"/>
  <c r="I481" i="7"/>
  <c r="I480" i="7"/>
  <c r="I479" i="7"/>
  <c r="I478" i="7"/>
  <c r="I477" i="7"/>
  <c r="I476" i="7"/>
  <c r="I475" i="7"/>
  <c r="I474" i="7"/>
  <c r="I473" i="7"/>
  <c r="I472" i="7"/>
  <c r="I471" i="7"/>
  <c r="I470" i="7"/>
  <c r="I469" i="7"/>
  <c r="I468" i="7"/>
  <c r="I467" i="7"/>
  <c r="I466" i="7"/>
  <c r="I465" i="7"/>
  <c r="I464" i="7"/>
  <c r="I463" i="7"/>
  <c r="I462" i="7"/>
  <c r="I461" i="7"/>
  <c r="I460" i="7"/>
  <c r="I459" i="7"/>
  <c r="I458" i="7"/>
  <c r="I457" i="7"/>
  <c r="I456" i="7"/>
  <c r="I455" i="7"/>
  <c r="I454" i="7"/>
  <c r="I453" i="7"/>
  <c r="I452" i="7"/>
  <c r="I451" i="7"/>
  <c r="I450" i="7"/>
  <c r="I449" i="7"/>
  <c r="I448" i="7"/>
  <c r="I447" i="7"/>
  <c r="I446" i="7"/>
  <c r="I445" i="7"/>
  <c r="I444" i="7"/>
  <c r="I443" i="7"/>
  <c r="I442" i="7"/>
  <c r="I441" i="7"/>
  <c r="I440" i="7"/>
  <c r="I439" i="7"/>
  <c r="I438" i="7"/>
  <c r="I437" i="7"/>
  <c r="I436" i="7"/>
  <c r="I435" i="7"/>
  <c r="I434" i="7"/>
  <c r="I433" i="7"/>
  <c r="I432" i="7"/>
  <c r="I431" i="7"/>
  <c r="I430" i="7"/>
  <c r="I429" i="7"/>
  <c r="I428" i="7"/>
  <c r="I427" i="7"/>
  <c r="I426" i="7"/>
  <c r="I425" i="7"/>
  <c r="I424" i="7"/>
  <c r="I423" i="7"/>
  <c r="I422" i="7"/>
  <c r="I421" i="7"/>
  <c r="I420" i="7"/>
  <c r="I419" i="7"/>
  <c r="I418" i="7"/>
  <c r="I417" i="7"/>
  <c r="I416" i="7"/>
  <c r="I415" i="7"/>
  <c r="I414" i="7"/>
  <c r="I413" i="7"/>
  <c r="I412" i="7"/>
  <c r="I411" i="7"/>
  <c r="I410" i="7"/>
  <c r="I409" i="7"/>
  <c r="I408" i="7"/>
  <c r="I407" i="7"/>
  <c r="I406" i="7"/>
  <c r="I405" i="7"/>
  <c r="I404" i="7"/>
  <c r="I403" i="7"/>
  <c r="I402" i="7"/>
  <c r="I401" i="7"/>
  <c r="I400" i="7"/>
  <c r="I399" i="7"/>
  <c r="I398" i="7"/>
  <c r="I397" i="7"/>
  <c r="I396" i="7"/>
  <c r="I395" i="7"/>
  <c r="I394" i="7"/>
  <c r="I393" i="7"/>
  <c r="I392" i="7"/>
  <c r="I391" i="7"/>
  <c r="I390" i="7"/>
  <c r="I389" i="7"/>
  <c r="I388" i="7"/>
  <c r="I387" i="7"/>
  <c r="I386" i="7"/>
  <c r="I385" i="7"/>
  <c r="I384" i="7"/>
  <c r="I383" i="7"/>
  <c r="I382" i="7"/>
  <c r="I381" i="7"/>
  <c r="I380" i="7"/>
  <c r="I379" i="7"/>
  <c r="I378" i="7"/>
  <c r="I377" i="7"/>
  <c r="I376" i="7"/>
  <c r="I375" i="7"/>
  <c r="I374" i="7"/>
  <c r="I373" i="7"/>
  <c r="I372" i="7"/>
  <c r="I371" i="7"/>
  <c r="I370" i="7"/>
  <c r="I369" i="7"/>
  <c r="I368" i="7"/>
  <c r="I367" i="7"/>
  <c r="I366" i="7"/>
  <c r="I365" i="7"/>
  <c r="I364" i="7"/>
  <c r="I363" i="7"/>
  <c r="I362" i="7"/>
  <c r="I361" i="7"/>
  <c r="I360" i="7"/>
  <c r="I359" i="7"/>
  <c r="I358" i="7"/>
  <c r="I357" i="7"/>
  <c r="I356" i="7"/>
  <c r="I355" i="7"/>
  <c r="I354" i="7"/>
  <c r="I353" i="7"/>
  <c r="I352" i="7"/>
  <c r="I351" i="7"/>
  <c r="I350" i="7"/>
  <c r="I349" i="7"/>
  <c r="I348" i="7"/>
  <c r="I347" i="7"/>
  <c r="I346" i="7"/>
  <c r="I345" i="7"/>
  <c r="I344" i="7"/>
  <c r="I343" i="7"/>
  <c r="I342" i="7"/>
  <c r="I341" i="7"/>
  <c r="I340" i="7"/>
  <c r="I339" i="7"/>
  <c r="I338" i="7"/>
  <c r="I337" i="7"/>
  <c r="I336" i="7"/>
  <c r="I335" i="7"/>
  <c r="I334" i="7"/>
  <c r="I333" i="7"/>
  <c r="I332" i="7"/>
  <c r="I331" i="7"/>
  <c r="I330" i="7"/>
  <c r="I329" i="7"/>
  <c r="I328" i="7"/>
  <c r="I327" i="7"/>
  <c r="I326" i="7"/>
  <c r="I325" i="7"/>
  <c r="I324" i="7"/>
  <c r="I323" i="7"/>
  <c r="I322" i="7"/>
  <c r="I321" i="7"/>
  <c r="I320" i="7"/>
  <c r="I319" i="7"/>
  <c r="I318" i="7"/>
  <c r="I317" i="7"/>
  <c r="I316" i="7"/>
  <c r="I315" i="7"/>
  <c r="I314" i="7"/>
  <c r="I313" i="7"/>
  <c r="I312" i="7"/>
  <c r="I311" i="7"/>
  <c r="I310" i="7"/>
  <c r="I309" i="7"/>
  <c r="I308" i="7"/>
  <c r="I307" i="7"/>
  <c r="I306" i="7"/>
  <c r="I305" i="7"/>
  <c r="I304" i="7"/>
  <c r="I303" i="7"/>
  <c r="I302" i="7"/>
  <c r="I301" i="7"/>
  <c r="I300" i="7"/>
  <c r="I299" i="7"/>
  <c r="I298" i="7"/>
  <c r="I297" i="7"/>
  <c r="I296" i="7"/>
  <c r="I295" i="7"/>
  <c r="I294" i="7"/>
  <c r="I293" i="7"/>
  <c r="I292" i="7"/>
  <c r="I291" i="7"/>
  <c r="I290" i="7"/>
  <c r="I289" i="7"/>
  <c r="I288" i="7"/>
  <c r="I287" i="7"/>
  <c r="I286" i="7"/>
  <c r="I285" i="7"/>
  <c r="I284" i="7"/>
  <c r="I283" i="7"/>
  <c r="I282" i="7"/>
  <c r="I281" i="7"/>
  <c r="I280" i="7"/>
  <c r="I279" i="7"/>
  <c r="K551" i="7"/>
  <c r="J551" i="7"/>
  <c r="I551" i="7" l="1"/>
  <c r="G765" i="7"/>
  <c r="I1" i="9" l="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E327" i="11"/>
  <c r="E328" i="11"/>
  <c r="E329" i="11"/>
  <c r="E330" i="11"/>
  <c r="E331" i="11"/>
  <c r="E332" i="11"/>
  <c r="E333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E360" i="11"/>
  <c r="E361" i="11"/>
  <c r="E362" i="11"/>
  <c r="E363" i="11"/>
  <c r="E364" i="11"/>
  <c r="E365" i="11"/>
  <c r="E366" i="11"/>
  <c r="E367" i="11"/>
  <c r="E368" i="11"/>
  <c r="E369" i="11"/>
  <c r="E370" i="11"/>
  <c r="E371" i="11"/>
  <c r="E372" i="11"/>
  <c r="E373" i="11"/>
  <c r="E374" i="11"/>
  <c r="E375" i="11"/>
  <c r="E376" i="11"/>
  <c r="E377" i="11"/>
  <c r="E378" i="11"/>
  <c r="E379" i="11"/>
  <c r="E380" i="11"/>
  <c r="E381" i="11"/>
  <c r="E382" i="11"/>
  <c r="E383" i="11"/>
  <c r="E384" i="11"/>
  <c r="E385" i="11"/>
  <c r="E386" i="11"/>
  <c r="E387" i="11"/>
  <c r="E388" i="11"/>
  <c r="E389" i="11"/>
  <c r="E390" i="11"/>
  <c r="E391" i="11"/>
  <c r="E392" i="11"/>
  <c r="E393" i="11"/>
  <c r="E394" i="11"/>
  <c r="E395" i="11"/>
  <c r="E396" i="11"/>
  <c r="E397" i="11"/>
  <c r="E398" i="11"/>
  <c r="E399" i="11"/>
  <c r="E400" i="11"/>
  <c r="E401" i="11"/>
  <c r="E402" i="11"/>
  <c r="E403" i="11"/>
  <c r="E404" i="11"/>
  <c r="E405" i="11"/>
  <c r="E406" i="11"/>
  <c r="E407" i="11"/>
  <c r="E408" i="11"/>
  <c r="E409" i="11"/>
  <c r="E410" i="11"/>
  <c r="E411" i="11"/>
  <c r="E412" i="11"/>
  <c r="E413" i="11"/>
  <c r="E414" i="11"/>
  <c r="E415" i="11"/>
  <c r="E416" i="11"/>
  <c r="E417" i="11"/>
  <c r="E418" i="11"/>
  <c r="E419" i="11"/>
  <c r="E420" i="11"/>
  <c r="E421" i="11"/>
  <c r="E422" i="11"/>
  <c r="E423" i="11"/>
  <c r="E424" i="11"/>
  <c r="E425" i="11"/>
  <c r="E426" i="11"/>
  <c r="E427" i="11"/>
  <c r="E428" i="11"/>
  <c r="E429" i="11"/>
  <c r="E430" i="11"/>
  <c r="E431" i="11"/>
  <c r="E432" i="11"/>
  <c r="E433" i="11"/>
  <c r="E434" i="11"/>
  <c r="E435" i="11"/>
  <c r="E436" i="11"/>
  <c r="E437" i="11"/>
  <c r="E438" i="11"/>
  <c r="E439" i="11"/>
  <c r="E440" i="11"/>
  <c r="E441" i="11"/>
  <c r="E442" i="11"/>
  <c r="E443" i="11"/>
  <c r="E444" i="11"/>
  <c r="E445" i="11"/>
  <c r="E446" i="11"/>
  <c r="E447" i="11"/>
  <c r="E448" i="11"/>
  <c r="E449" i="11"/>
  <c r="E450" i="11"/>
  <c r="E451" i="11"/>
  <c r="E452" i="11"/>
  <c r="E453" i="11"/>
  <c r="E454" i="11"/>
  <c r="E455" i="11"/>
  <c r="E456" i="11"/>
  <c r="E457" i="11"/>
  <c r="E458" i="11"/>
  <c r="E459" i="11"/>
  <c r="E460" i="11"/>
  <c r="E461" i="11"/>
  <c r="E462" i="11"/>
  <c r="E463" i="11"/>
  <c r="E464" i="11"/>
  <c r="E465" i="11"/>
  <c r="E466" i="11"/>
  <c r="E467" i="11"/>
  <c r="E468" i="11"/>
  <c r="E469" i="11"/>
  <c r="E470" i="11"/>
  <c r="E471" i="11"/>
  <c r="E472" i="11"/>
  <c r="E473" i="11"/>
  <c r="E474" i="11"/>
  <c r="E475" i="11"/>
  <c r="E476" i="11"/>
  <c r="E477" i="11"/>
  <c r="E478" i="11"/>
  <c r="E479" i="11"/>
  <c r="E480" i="11"/>
  <c r="E481" i="11"/>
  <c r="E482" i="11"/>
  <c r="E483" i="11"/>
  <c r="E484" i="11"/>
  <c r="E485" i="11"/>
  <c r="E486" i="11"/>
  <c r="E487" i="11"/>
  <c r="E488" i="11"/>
  <c r="E489" i="11"/>
  <c r="E490" i="11"/>
  <c r="E491" i="11"/>
  <c r="E492" i="11"/>
  <c r="E493" i="11"/>
  <c r="E494" i="11"/>
  <c r="E495" i="11"/>
  <c r="E496" i="11"/>
  <c r="E497" i="11"/>
  <c r="E498" i="11"/>
  <c r="E499" i="11"/>
  <c r="E500" i="11"/>
  <c r="E501" i="11"/>
  <c r="E502" i="11"/>
  <c r="E503" i="11"/>
  <c r="E504" i="11"/>
  <c r="E505" i="11"/>
  <c r="E506" i="11"/>
  <c r="E507" i="11"/>
  <c r="E508" i="11"/>
  <c r="E509" i="11"/>
  <c r="E510" i="11"/>
  <c r="E511" i="11"/>
  <c r="E512" i="11"/>
  <c r="E513" i="11"/>
  <c r="E514" i="11"/>
  <c r="E515" i="11"/>
  <c r="E516" i="11"/>
  <c r="E517" i="11"/>
  <c r="E518" i="11"/>
  <c r="E519" i="11"/>
  <c r="E520" i="11"/>
  <c r="E521" i="11"/>
  <c r="E522" i="11"/>
  <c r="E523" i="11"/>
  <c r="E524" i="11"/>
  <c r="E525" i="11"/>
  <c r="E526" i="11"/>
  <c r="E527" i="11"/>
  <c r="E528" i="11"/>
  <c r="E529" i="11"/>
  <c r="E530" i="11"/>
  <c r="E531" i="11"/>
  <c r="E532" i="11"/>
  <c r="E533" i="11"/>
  <c r="E534" i="11"/>
  <c r="E535" i="11"/>
  <c r="E536" i="11"/>
  <c r="E537" i="11"/>
  <c r="E538" i="11"/>
  <c r="E539" i="11"/>
  <c r="E540" i="11"/>
  <c r="E541" i="11"/>
  <c r="E542" i="11"/>
  <c r="E543" i="11"/>
  <c r="E544" i="11"/>
  <c r="E545" i="11"/>
  <c r="E546" i="11"/>
  <c r="E547" i="11"/>
  <c r="E548" i="11"/>
  <c r="E549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  <c r="D201" i="11"/>
  <c r="D202" i="11"/>
  <c r="D203" i="11"/>
  <c r="D204" i="11"/>
  <c r="D205" i="11"/>
  <c r="D206" i="11"/>
  <c r="D207" i="11"/>
  <c r="D208" i="11"/>
  <c r="D209" i="11"/>
  <c r="D210" i="11"/>
  <c r="D211" i="11"/>
  <c r="D212" i="11"/>
  <c r="D213" i="11"/>
  <c r="D214" i="11"/>
  <c r="D215" i="11"/>
  <c r="D216" i="11"/>
  <c r="D217" i="11"/>
  <c r="D218" i="11"/>
  <c r="D219" i="11"/>
  <c r="D220" i="11"/>
  <c r="D221" i="11"/>
  <c r="D222" i="11"/>
  <c r="D223" i="11"/>
  <c r="D224" i="1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D237" i="11"/>
  <c r="D238" i="11"/>
  <c r="D239" i="1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D261" i="11"/>
  <c r="D262" i="11"/>
  <c r="D263" i="11"/>
  <c r="D264" i="11"/>
  <c r="D265" i="11"/>
  <c r="D266" i="11"/>
  <c r="D267" i="1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D285" i="11"/>
  <c r="D286" i="11"/>
  <c r="D287" i="11"/>
  <c r="D288" i="11"/>
  <c r="D289" i="11"/>
  <c r="D290" i="11"/>
  <c r="D291" i="11"/>
  <c r="D292" i="11"/>
  <c r="D293" i="11"/>
  <c r="D294" i="11"/>
  <c r="D295" i="11"/>
  <c r="D296" i="11"/>
  <c r="D297" i="11"/>
  <c r="D298" i="11"/>
  <c r="D299" i="11"/>
  <c r="D300" i="11"/>
  <c r="D301" i="11"/>
  <c r="D302" i="11"/>
  <c r="D303" i="11"/>
  <c r="D304" i="11"/>
  <c r="D305" i="11"/>
  <c r="D306" i="11"/>
  <c r="D307" i="11"/>
  <c r="D308" i="11"/>
  <c r="D309" i="11"/>
  <c r="D310" i="11"/>
  <c r="D311" i="11"/>
  <c r="D312" i="11"/>
  <c r="D313" i="11"/>
  <c r="D314" i="11"/>
  <c r="D315" i="11"/>
  <c r="D316" i="11"/>
  <c r="D317" i="11"/>
  <c r="D318" i="11"/>
  <c r="D319" i="11"/>
  <c r="D320" i="11"/>
  <c r="D321" i="11"/>
  <c r="D322" i="11"/>
  <c r="D323" i="11"/>
  <c r="D324" i="11"/>
  <c r="D325" i="11"/>
  <c r="D326" i="11"/>
  <c r="D327" i="11"/>
  <c r="D328" i="11"/>
  <c r="D329" i="11"/>
  <c r="D330" i="11"/>
  <c r="D331" i="11"/>
  <c r="D332" i="11"/>
  <c r="D333" i="11"/>
  <c r="D334" i="11"/>
  <c r="D335" i="11"/>
  <c r="D336" i="11"/>
  <c r="D337" i="11"/>
  <c r="D338" i="11"/>
  <c r="D339" i="11"/>
  <c r="D340" i="11"/>
  <c r="D341" i="11"/>
  <c r="D342" i="11"/>
  <c r="D343" i="11"/>
  <c r="D344" i="11"/>
  <c r="D345" i="11"/>
  <c r="D346" i="11"/>
  <c r="D347" i="11"/>
  <c r="D348" i="11"/>
  <c r="D349" i="11"/>
  <c r="D350" i="11"/>
  <c r="D351" i="11"/>
  <c r="D352" i="11"/>
  <c r="D353" i="11"/>
  <c r="D354" i="11"/>
  <c r="D355" i="11"/>
  <c r="D356" i="11"/>
  <c r="D357" i="11"/>
  <c r="D358" i="11"/>
  <c r="D359" i="11"/>
  <c r="D360" i="11"/>
  <c r="D361" i="11"/>
  <c r="D362" i="11"/>
  <c r="D363" i="11"/>
  <c r="D364" i="11"/>
  <c r="D365" i="11"/>
  <c r="D366" i="11"/>
  <c r="D367" i="11"/>
  <c r="D368" i="11"/>
  <c r="D369" i="11"/>
  <c r="D370" i="11"/>
  <c r="D371" i="11"/>
  <c r="D372" i="11"/>
  <c r="D373" i="11"/>
  <c r="D374" i="11"/>
  <c r="D375" i="11"/>
  <c r="D376" i="11"/>
  <c r="D377" i="11"/>
  <c r="D378" i="11"/>
  <c r="D379" i="11"/>
  <c r="D380" i="11"/>
  <c r="D381" i="11"/>
  <c r="D382" i="11"/>
  <c r="D383" i="11"/>
  <c r="D384" i="11"/>
  <c r="D385" i="11"/>
  <c r="D386" i="11"/>
  <c r="D387" i="11"/>
  <c r="D388" i="11"/>
  <c r="D389" i="11"/>
  <c r="D390" i="11"/>
  <c r="D391" i="11"/>
  <c r="D392" i="11"/>
  <c r="D393" i="11"/>
  <c r="D394" i="11"/>
  <c r="D395" i="11"/>
  <c r="D396" i="11"/>
  <c r="D397" i="11"/>
  <c r="D398" i="11"/>
  <c r="D399" i="11"/>
  <c r="D400" i="11"/>
  <c r="D401" i="11"/>
  <c r="D402" i="11"/>
  <c r="D403" i="11"/>
  <c r="D404" i="11"/>
  <c r="D405" i="11"/>
  <c r="D406" i="11"/>
  <c r="D407" i="11"/>
  <c r="D408" i="11"/>
  <c r="D409" i="11"/>
  <c r="D410" i="11"/>
  <c r="D411" i="11"/>
  <c r="D412" i="11"/>
  <c r="D413" i="11"/>
  <c r="D414" i="11"/>
  <c r="D415" i="11"/>
  <c r="D416" i="11"/>
  <c r="D417" i="11"/>
  <c r="D418" i="11"/>
  <c r="D419" i="11"/>
  <c r="D420" i="11"/>
  <c r="D421" i="11"/>
  <c r="D422" i="11"/>
  <c r="D423" i="11"/>
  <c r="D424" i="11"/>
  <c r="D425" i="11"/>
  <c r="D426" i="11"/>
  <c r="D427" i="11"/>
  <c r="D428" i="11"/>
  <c r="D429" i="11"/>
  <c r="D430" i="11"/>
  <c r="D431" i="11"/>
  <c r="D432" i="11"/>
  <c r="D433" i="11"/>
  <c r="D434" i="11"/>
  <c r="D435" i="11"/>
  <c r="D436" i="11"/>
  <c r="D437" i="11"/>
  <c r="D438" i="11"/>
  <c r="D439" i="11"/>
  <c r="D440" i="11"/>
  <c r="D441" i="11"/>
  <c r="D442" i="11"/>
  <c r="D443" i="11"/>
  <c r="D444" i="11"/>
  <c r="D445" i="11"/>
  <c r="D446" i="11"/>
  <c r="D447" i="11"/>
  <c r="D448" i="11"/>
  <c r="D449" i="11"/>
  <c r="D450" i="11"/>
  <c r="D451" i="11"/>
  <c r="D452" i="11"/>
  <c r="D453" i="11"/>
  <c r="D454" i="11"/>
  <c r="D455" i="11"/>
  <c r="D456" i="11"/>
  <c r="D457" i="11"/>
  <c r="D458" i="11"/>
  <c r="D459" i="11"/>
  <c r="D460" i="11"/>
  <c r="D461" i="11"/>
  <c r="D462" i="11"/>
  <c r="D463" i="11"/>
  <c r="D464" i="11"/>
  <c r="D465" i="11"/>
  <c r="D466" i="11"/>
  <c r="D467" i="11"/>
  <c r="D468" i="11"/>
  <c r="D469" i="11"/>
  <c r="D470" i="11"/>
  <c r="D471" i="11"/>
  <c r="D472" i="11"/>
  <c r="D473" i="11"/>
  <c r="D474" i="11"/>
  <c r="D475" i="11"/>
  <c r="D476" i="11"/>
  <c r="D477" i="11"/>
  <c r="D478" i="11"/>
  <c r="D479" i="11"/>
  <c r="D480" i="11"/>
  <c r="D481" i="11"/>
  <c r="D482" i="11"/>
  <c r="D483" i="11"/>
  <c r="D484" i="11"/>
  <c r="D485" i="11"/>
  <c r="D486" i="11"/>
  <c r="D487" i="11"/>
  <c r="D488" i="11"/>
  <c r="D489" i="11"/>
  <c r="D490" i="11"/>
  <c r="D491" i="11"/>
  <c r="D492" i="11"/>
  <c r="D493" i="11"/>
  <c r="D494" i="11"/>
  <c r="D495" i="11"/>
  <c r="D496" i="11"/>
  <c r="D497" i="11"/>
  <c r="D498" i="11"/>
  <c r="D499" i="11"/>
  <c r="D500" i="11"/>
  <c r="D501" i="11"/>
  <c r="D502" i="11"/>
  <c r="D503" i="11"/>
  <c r="D504" i="11"/>
  <c r="D505" i="11"/>
  <c r="D506" i="11"/>
  <c r="D507" i="11"/>
  <c r="D508" i="11"/>
  <c r="D509" i="11"/>
  <c r="D510" i="11"/>
  <c r="D511" i="11"/>
  <c r="D512" i="11"/>
  <c r="D513" i="11"/>
  <c r="D514" i="11"/>
  <c r="D515" i="11"/>
  <c r="D516" i="11"/>
  <c r="D517" i="11"/>
  <c r="D518" i="11"/>
  <c r="D519" i="11"/>
  <c r="D520" i="11"/>
  <c r="D521" i="11"/>
  <c r="D522" i="11"/>
  <c r="D523" i="11"/>
  <c r="D524" i="11"/>
  <c r="D525" i="11"/>
  <c r="D526" i="11"/>
  <c r="D527" i="11"/>
  <c r="D528" i="11"/>
  <c r="D529" i="11"/>
  <c r="D530" i="11"/>
  <c r="D531" i="11"/>
  <c r="D532" i="11"/>
  <c r="D533" i="11"/>
  <c r="D534" i="11"/>
  <c r="D535" i="11"/>
  <c r="D536" i="11"/>
  <c r="D537" i="11"/>
  <c r="D538" i="11"/>
  <c r="D539" i="11"/>
  <c r="D540" i="11"/>
  <c r="D541" i="11"/>
  <c r="D542" i="11"/>
  <c r="D543" i="11"/>
  <c r="D544" i="11"/>
  <c r="D545" i="11"/>
  <c r="D546" i="11"/>
  <c r="D547" i="11"/>
  <c r="D548" i="11"/>
  <c r="D549" i="11"/>
  <c r="G8" i="11" l="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122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G142" i="11"/>
  <c r="G143" i="11"/>
  <c r="G144" i="11"/>
  <c r="G145" i="11"/>
  <c r="G146" i="11"/>
  <c r="G147" i="11"/>
  <c r="G148" i="11"/>
  <c r="G149" i="11"/>
  <c r="G150" i="11"/>
  <c r="G151" i="11"/>
  <c r="G152" i="11"/>
  <c r="G153" i="11"/>
  <c r="G154" i="11"/>
  <c r="G155" i="11"/>
  <c r="G156" i="11"/>
  <c r="G157" i="11"/>
  <c r="G158" i="11"/>
  <c r="G159" i="11"/>
  <c r="G160" i="11"/>
  <c r="G161" i="11"/>
  <c r="G162" i="11"/>
  <c r="G163" i="11"/>
  <c r="G164" i="11"/>
  <c r="G165" i="11"/>
  <c r="G166" i="11"/>
  <c r="G167" i="11"/>
  <c r="G168" i="11"/>
  <c r="G169" i="11"/>
  <c r="G17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83" i="11"/>
  <c r="G184" i="11"/>
  <c r="G185" i="11"/>
  <c r="G186" i="11"/>
  <c r="G187" i="11"/>
  <c r="G188" i="11"/>
  <c r="G189" i="11"/>
  <c r="G190" i="11"/>
  <c r="G191" i="11"/>
  <c r="G192" i="11"/>
  <c r="G193" i="11"/>
  <c r="G194" i="11"/>
  <c r="G195" i="11"/>
  <c r="G196" i="11"/>
  <c r="G197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214" i="11"/>
  <c r="G215" i="11"/>
  <c r="G216" i="11"/>
  <c r="G217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45" i="11"/>
  <c r="G246" i="11"/>
  <c r="G247" i="11"/>
  <c r="G248" i="11"/>
  <c r="G249" i="11"/>
  <c r="G250" i="11"/>
  <c r="G251" i="11"/>
  <c r="G252" i="11"/>
  <c r="G253" i="11"/>
  <c r="G254" i="11"/>
  <c r="G255" i="11"/>
  <c r="G256" i="11"/>
  <c r="G257" i="11"/>
  <c r="G258" i="11"/>
  <c r="G259" i="11"/>
  <c r="G260" i="11"/>
  <c r="G261" i="11"/>
  <c r="G262" i="11"/>
  <c r="G263" i="11"/>
  <c r="G264" i="11"/>
  <c r="G265" i="11"/>
  <c r="G266" i="11"/>
  <c r="G267" i="11"/>
  <c r="G268" i="11"/>
  <c r="G269" i="11"/>
  <c r="G270" i="11"/>
  <c r="G271" i="11"/>
  <c r="G272" i="11"/>
  <c r="G273" i="11"/>
  <c r="G274" i="11"/>
  <c r="G275" i="11"/>
  <c r="G276" i="11"/>
  <c r="G277" i="11"/>
  <c r="G278" i="11"/>
  <c r="G279" i="11"/>
  <c r="G280" i="11"/>
  <c r="G281" i="11"/>
  <c r="G282" i="11"/>
  <c r="G283" i="11"/>
  <c r="G284" i="11"/>
  <c r="G285" i="11"/>
  <c r="G286" i="11"/>
  <c r="G287" i="11"/>
  <c r="G288" i="11"/>
  <c r="G289" i="11"/>
  <c r="G290" i="11"/>
  <c r="G291" i="11"/>
  <c r="G292" i="11"/>
  <c r="G293" i="11"/>
  <c r="G294" i="11"/>
  <c r="G295" i="11"/>
  <c r="G296" i="11"/>
  <c r="G297" i="11"/>
  <c r="G298" i="11"/>
  <c r="G299" i="11"/>
  <c r="G300" i="11"/>
  <c r="G301" i="11"/>
  <c r="G302" i="11"/>
  <c r="G303" i="11"/>
  <c r="G304" i="11"/>
  <c r="G305" i="11"/>
  <c r="G306" i="11"/>
  <c r="G307" i="11"/>
  <c r="G308" i="11"/>
  <c r="G309" i="11"/>
  <c r="G310" i="11"/>
  <c r="G311" i="11"/>
  <c r="G312" i="11"/>
  <c r="G313" i="11"/>
  <c r="G314" i="11"/>
  <c r="G315" i="11"/>
  <c r="G316" i="11"/>
  <c r="G317" i="11"/>
  <c r="G318" i="11"/>
  <c r="G319" i="11"/>
  <c r="G320" i="11"/>
  <c r="G321" i="11"/>
  <c r="G322" i="11"/>
  <c r="G323" i="11"/>
  <c r="G324" i="11"/>
  <c r="G325" i="11"/>
  <c r="G326" i="11"/>
  <c r="G327" i="11"/>
  <c r="G328" i="11"/>
  <c r="G329" i="11"/>
  <c r="G330" i="11"/>
  <c r="G331" i="11"/>
  <c r="G332" i="11"/>
  <c r="G333" i="11"/>
  <c r="G334" i="11"/>
  <c r="G335" i="11"/>
  <c r="G336" i="11"/>
  <c r="G337" i="11"/>
  <c r="G338" i="11"/>
  <c r="G339" i="11"/>
  <c r="G340" i="11"/>
  <c r="G341" i="11"/>
  <c r="G342" i="11"/>
  <c r="G343" i="11"/>
  <c r="G344" i="11"/>
  <c r="G345" i="11"/>
  <c r="G346" i="11"/>
  <c r="G347" i="11"/>
  <c r="G348" i="11"/>
  <c r="G349" i="11"/>
  <c r="G350" i="11"/>
  <c r="G351" i="11"/>
  <c r="G352" i="11"/>
  <c r="G353" i="11"/>
  <c r="G354" i="11"/>
  <c r="G355" i="11"/>
  <c r="G356" i="11"/>
  <c r="G357" i="11"/>
  <c r="G358" i="11"/>
  <c r="G359" i="11"/>
  <c r="G360" i="11"/>
  <c r="G361" i="11"/>
  <c r="G362" i="11"/>
  <c r="G363" i="11"/>
  <c r="G364" i="11"/>
  <c r="G365" i="11"/>
  <c r="G366" i="11"/>
  <c r="G367" i="11"/>
  <c r="G368" i="11"/>
  <c r="G369" i="11"/>
  <c r="G370" i="11"/>
  <c r="G371" i="11"/>
  <c r="G372" i="11"/>
  <c r="G373" i="11"/>
  <c r="G374" i="11"/>
  <c r="G375" i="11"/>
  <c r="G376" i="11"/>
  <c r="G377" i="11"/>
  <c r="G378" i="11"/>
  <c r="G379" i="11"/>
  <c r="G380" i="11"/>
  <c r="G381" i="11"/>
  <c r="G382" i="11"/>
  <c r="G383" i="11"/>
  <c r="G384" i="11"/>
  <c r="G385" i="11"/>
  <c r="G386" i="11"/>
  <c r="G387" i="11"/>
  <c r="G388" i="11"/>
  <c r="G389" i="11"/>
  <c r="G390" i="11"/>
  <c r="G391" i="11"/>
  <c r="G392" i="11"/>
  <c r="G393" i="11"/>
  <c r="G394" i="11"/>
  <c r="G395" i="11"/>
  <c r="G396" i="11"/>
  <c r="G397" i="11"/>
  <c r="G398" i="11"/>
  <c r="G399" i="11"/>
  <c r="G400" i="11"/>
  <c r="G401" i="11"/>
  <c r="G402" i="11"/>
  <c r="G403" i="11"/>
  <c r="G404" i="11"/>
  <c r="G405" i="11"/>
  <c r="G406" i="11"/>
  <c r="G407" i="11"/>
  <c r="G408" i="11"/>
  <c r="G409" i="11"/>
  <c r="G410" i="11"/>
  <c r="G411" i="11"/>
  <c r="G412" i="11"/>
  <c r="G413" i="11"/>
  <c r="G414" i="11"/>
  <c r="G415" i="11"/>
  <c r="G416" i="11"/>
  <c r="G417" i="11"/>
  <c r="G418" i="11"/>
  <c r="G419" i="11"/>
  <c r="G420" i="11"/>
  <c r="G421" i="11"/>
  <c r="G422" i="11"/>
  <c r="G423" i="11"/>
  <c r="G424" i="11"/>
  <c r="G425" i="11"/>
  <c r="G426" i="11"/>
  <c r="G427" i="11"/>
  <c r="G428" i="11"/>
  <c r="G429" i="11"/>
  <c r="G430" i="11"/>
  <c r="G431" i="11"/>
  <c r="G432" i="11"/>
  <c r="G433" i="11"/>
  <c r="G434" i="11"/>
  <c r="G435" i="11"/>
  <c r="G436" i="11"/>
  <c r="G437" i="11"/>
  <c r="G438" i="11"/>
  <c r="G439" i="11"/>
  <c r="G440" i="11"/>
  <c r="G441" i="11"/>
  <c r="G442" i="11"/>
  <c r="G443" i="11"/>
  <c r="G444" i="11"/>
  <c r="G445" i="11"/>
  <c r="G446" i="11"/>
  <c r="G447" i="11"/>
  <c r="G448" i="11"/>
  <c r="G449" i="11"/>
  <c r="G450" i="11"/>
  <c r="G451" i="11"/>
  <c r="G452" i="11"/>
  <c r="G453" i="11"/>
  <c r="G454" i="11"/>
  <c r="G455" i="11"/>
  <c r="G456" i="11"/>
  <c r="G457" i="11"/>
  <c r="G458" i="11"/>
  <c r="G459" i="11"/>
  <c r="G460" i="11"/>
  <c r="G461" i="11"/>
  <c r="G462" i="11"/>
  <c r="G463" i="11"/>
  <c r="G464" i="11"/>
  <c r="G465" i="11"/>
  <c r="G466" i="11"/>
  <c r="G467" i="11"/>
  <c r="G468" i="11"/>
  <c r="G469" i="11"/>
  <c r="G470" i="11"/>
  <c r="G471" i="11"/>
  <c r="G472" i="11"/>
  <c r="G473" i="11"/>
  <c r="G474" i="11"/>
  <c r="G475" i="11"/>
  <c r="G476" i="11"/>
  <c r="G477" i="11"/>
  <c r="G478" i="11"/>
  <c r="G479" i="11"/>
  <c r="G480" i="11"/>
  <c r="G481" i="11"/>
  <c r="G482" i="11"/>
  <c r="G483" i="11"/>
  <c r="G484" i="11"/>
  <c r="G485" i="11"/>
  <c r="G486" i="11"/>
  <c r="G487" i="11"/>
  <c r="G488" i="11"/>
  <c r="G489" i="11"/>
  <c r="G490" i="11"/>
  <c r="G491" i="11"/>
  <c r="G492" i="11"/>
  <c r="G493" i="11"/>
  <c r="G494" i="11"/>
  <c r="G495" i="11"/>
  <c r="G496" i="11"/>
  <c r="G497" i="11"/>
  <c r="G498" i="11"/>
  <c r="G499" i="11"/>
  <c r="G500" i="11"/>
  <c r="G501" i="11"/>
  <c r="G502" i="11"/>
  <c r="G503" i="11"/>
  <c r="G504" i="11"/>
  <c r="G505" i="11"/>
  <c r="G506" i="11"/>
  <c r="G507" i="11"/>
  <c r="G508" i="11"/>
  <c r="G509" i="11"/>
  <c r="G510" i="11"/>
  <c r="G511" i="11"/>
  <c r="G512" i="11"/>
  <c r="G513" i="11"/>
  <c r="G514" i="11"/>
  <c r="G515" i="11"/>
  <c r="G516" i="11"/>
  <c r="G517" i="11"/>
  <c r="G518" i="11"/>
  <c r="G519" i="11"/>
  <c r="G520" i="11"/>
  <c r="G521" i="11"/>
  <c r="G522" i="11"/>
  <c r="G523" i="11"/>
  <c r="G524" i="11"/>
  <c r="G525" i="11"/>
  <c r="G526" i="11"/>
  <c r="G527" i="11"/>
  <c r="G528" i="11"/>
  <c r="G529" i="11"/>
  <c r="G530" i="11"/>
  <c r="G531" i="11"/>
  <c r="G532" i="11"/>
  <c r="G533" i="11"/>
  <c r="G534" i="11"/>
  <c r="G535" i="11"/>
  <c r="G536" i="11"/>
  <c r="G537" i="11"/>
  <c r="G538" i="11"/>
  <c r="G539" i="11"/>
  <c r="G540" i="11"/>
  <c r="G541" i="11"/>
  <c r="G542" i="11"/>
  <c r="G543" i="11"/>
  <c r="G544" i="11"/>
  <c r="G545" i="11"/>
  <c r="G546" i="11"/>
  <c r="G547" i="11"/>
  <c r="G548" i="11"/>
  <c r="G549" i="11"/>
  <c r="F8" i="11"/>
  <c r="F10" i="11" s="1"/>
  <c r="F12" i="11" s="1"/>
  <c r="F14" i="11" s="1"/>
  <c r="F16" i="11" s="1"/>
  <c r="F18" i="11" s="1"/>
  <c r="F20" i="11" s="1"/>
  <c r="F22" i="11" s="1"/>
  <c r="F24" i="11" s="1"/>
  <c r="F26" i="11" s="1"/>
  <c r="F28" i="11" s="1"/>
  <c r="F30" i="11" s="1"/>
  <c r="F32" i="11" s="1"/>
  <c r="F34" i="11" s="1"/>
  <c r="F36" i="11" s="1"/>
  <c r="F38" i="11" s="1"/>
  <c r="F40" i="11" s="1"/>
  <c r="F42" i="11" s="1"/>
  <c r="F44" i="11" s="1"/>
  <c r="F46" i="11" s="1"/>
  <c r="F48" i="11" s="1"/>
  <c r="F50" i="11" s="1"/>
  <c r="F52" i="11" s="1"/>
  <c r="F54" i="11" s="1"/>
  <c r="F56" i="11" s="1"/>
  <c r="F58" i="11" s="1"/>
  <c r="F60" i="11" s="1"/>
  <c r="F62" i="11" s="1"/>
  <c r="F64" i="11" s="1"/>
  <c r="F66" i="11" s="1"/>
  <c r="F68" i="11" s="1"/>
  <c r="F70" i="11" s="1"/>
  <c r="F72" i="11" s="1"/>
  <c r="F74" i="11" s="1"/>
  <c r="F76" i="11" s="1"/>
  <c r="F78" i="11" s="1"/>
  <c r="F80" i="11" s="1"/>
  <c r="F82" i="11" s="1"/>
  <c r="F84" i="11" s="1"/>
  <c r="F86" i="11" s="1"/>
  <c r="F88" i="11" s="1"/>
  <c r="F90" i="11" s="1"/>
  <c r="F92" i="11" s="1"/>
  <c r="F94" i="11" s="1"/>
  <c r="F96" i="11" s="1"/>
  <c r="F98" i="11" s="1"/>
  <c r="F100" i="11" s="1"/>
  <c r="F102" i="11" s="1"/>
  <c r="F104" i="11" s="1"/>
  <c r="F106" i="11" s="1"/>
  <c r="F108" i="11" s="1"/>
  <c r="F110" i="11" s="1"/>
  <c r="F112" i="11" s="1"/>
  <c r="F114" i="11" s="1"/>
  <c r="F116" i="11" s="1"/>
  <c r="F118" i="11" s="1"/>
  <c r="F120" i="11" s="1"/>
  <c r="F122" i="11" s="1"/>
  <c r="F124" i="11" s="1"/>
  <c r="F126" i="11" s="1"/>
  <c r="F128" i="11" s="1"/>
  <c r="F130" i="11" s="1"/>
  <c r="F132" i="11" s="1"/>
  <c r="F134" i="11" s="1"/>
  <c r="F136" i="11" s="1"/>
  <c r="F138" i="11" s="1"/>
  <c r="F140" i="11" s="1"/>
  <c r="F142" i="11" s="1"/>
  <c r="F144" i="11" s="1"/>
  <c r="F146" i="11" s="1"/>
  <c r="F148" i="11" s="1"/>
  <c r="F150" i="11" s="1"/>
  <c r="F152" i="11" s="1"/>
  <c r="F154" i="11" s="1"/>
  <c r="F156" i="11" s="1"/>
  <c r="F158" i="11" s="1"/>
  <c r="F160" i="11" s="1"/>
  <c r="F162" i="11" s="1"/>
  <c r="F164" i="11" s="1"/>
  <c r="F166" i="11" s="1"/>
  <c r="F168" i="11" s="1"/>
  <c r="F170" i="11" s="1"/>
  <c r="F172" i="11" s="1"/>
  <c r="F174" i="11" s="1"/>
  <c r="F176" i="11" s="1"/>
  <c r="F178" i="11" s="1"/>
  <c r="F180" i="11" s="1"/>
  <c r="F182" i="11" s="1"/>
  <c r="F184" i="11" s="1"/>
  <c r="F186" i="11" s="1"/>
  <c r="F188" i="11" s="1"/>
  <c r="F190" i="11" s="1"/>
  <c r="F192" i="11" s="1"/>
  <c r="F194" i="11" s="1"/>
  <c r="F196" i="11" s="1"/>
  <c r="F198" i="11" s="1"/>
  <c r="F200" i="11" s="1"/>
  <c r="F202" i="11" s="1"/>
  <c r="F204" i="11" s="1"/>
  <c r="F206" i="11" s="1"/>
  <c r="F208" i="11" s="1"/>
  <c r="F210" i="11" s="1"/>
  <c r="F212" i="11" s="1"/>
  <c r="F214" i="11" s="1"/>
  <c r="F216" i="11" s="1"/>
  <c r="F218" i="11" s="1"/>
  <c r="F220" i="11" s="1"/>
  <c r="F222" i="11" s="1"/>
  <c r="F224" i="11" s="1"/>
  <c r="F226" i="11" s="1"/>
  <c r="F228" i="11" s="1"/>
  <c r="F230" i="11" s="1"/>
  <c r="F232" i="11" s="1"/>
  <c r="F234" i="11" s="1"/>
  <c r="F236" i="11" s="1"/>
  <c r="F238" i="11" s="1"/>
  <c r="F240" i="11" s="1"/>
  <c r="F242" i="11" s="1"/>
  <c r="F244" i="11" s="1"/>
  <c r="F246" i="11" s="1"/>
  <c r="F248" i="11" s="1"/>
  <c r="F250" i="11" s="1"/>
  <c r="F252" i="11" s="1"/>
  <c r="F254" i="11" s="1"/>
  <c r="F256" i="11" s="1"/>
  <c r="F258" i="11" s="1"/>
  <c r="F260" i="11" s="1"/>
  <c r="F262" i="11" s="1"/>
  <c r="F264" i="11" s="1"/>
  <c r="F266" i="11" s="1"/>
  <c r="F268" i="11" s="1"/>
  <c r="F270" i="11" s="1"/>
  <c r="F272" i="11" s="1"/>
  <c r="F274" i="11" s="1"/>
  <c r="F276" i="11" s="1"/>
  <c r="F278" i="11" s="1"/>
  <c r="F280" i="11" s="1"/>
  <c r="F282" i="11" s="1"/>
  <c r="F284" i="11" s="1"/>
  <c r="F286" i="11" s="1"/>
  <c r="F288" i="11" s="1"/>
  <c r="F290" i="11" s="1"/>
  <c r="F292" i="11" s="1"/>
  <c r="F294" i="11" s="1"/>
  <c r="F296" i="11" s="1"/>
  <c r="F298" i="11" s="1"/>
  <c r="F300" i="11" s="1"/>
  <c r="F302" i="11" s="1"/>
  <c r="F304" i="11" s="1"/>
  <c r="F306" i="11" s="1"/>
  <c r="F308" i="11" s="1"/>
  <c r="F310" i="11" s="1"/>
  <c r="F312" i="11" s="1"/>
  <c r="F314" i="11" s="1"/>
  <c r="F316" i="11" s="1"/>
  <c r="F318" i="11" s="1"/>
  <c r="F320" i="11" s="1"/>
  <c r="F322" i="11" s="1"/>
  <c r="F324" i="11" s="1"/>
  <c r="F326" i="11" s="1"/>
  <c r="F328" i="11" s="1"/>
  <c r="F330" i="11" s="1"/>
  <c r="F332" i="11" s="1"/>
  <c r="F334" i="11" s="1"/>
  <c r="F336" i="11" s="1"/>
  <c r="F338" i="11" s="1"/>
  <c r="F340" i="11" s="1"/>
  <c r="F342" i="11" s="1"/>
  <c r="F344" i="11" s="1"/>
  <c r="F346" i="11" s="1"/>
  <c r="F348" i="11" s="1"/>
  <c r="F350" i="11" s="1"/>
  <c r="F352" i="11" s="1"/>
  <c r="F354" i="11" s="1"/>
  <c r="F356" i="11" s="1"/>
  <c r="F358" i="11" s="1"/>
  <c r="F360" i="11" s="1"/>
  <c r="F362" i="11" s="1"/>
  <c r="F364" i="11" s="1"/>
  <c r="F366" i="11" s="1"/>
  <c r="F368" i="11" s="1"/>
  <c r="F370" i="11" s="1"/>
  <c r="F372" i="11" s="1"/>
  <c r="F374" i="11" s="1"/>
  <c r="F376" i="11" s="1"/>
  <c r="F378" i="11" s="1"/>
  <c r="F380" i="11" s="1"/>
  <c r="F382" i="11" s="1"/>
  <c r="F384" i="11" s="1"/>
  <c r="F386" i="11" s="1"/>
  <c r="F388" i="11" s="1"/>
  <c r="F390" i="11" s="1"/>
  <c r="F392" i="11" s="1"/>
  <c r="F394" i="11" s="1"/>
  <c r="F396" i="11" s="1"/>
  <c r="F398" i="11" s="1"/>
  <c r="F400" i="11" s="1"/>
  <c r="F402" i="11" s="1"/>
  <c r="F404" i="11" s="1"/>
  <c r="F406" i="11" s="1"/>
  <c r="F408" i="11" s="1"/>
  <c r="F410" i="11" s="1"/>
  <c r="F412" i="11" s="1"/>
  <c r="F414" i="11" s="1"/>
  <c r="F416" i="11" s="1"/>
  <c r="F418" i="11" s="1"/>
  <c r="F420" i="11" s="1"/>
  <c r="F422" i="11" s="1"/>
  <c r="F424" i="11" s="1"/>
  <c r="F426" i="11" s="1"/>
  <c r="F428" i="11" s="1"/>
  <c r="F430" i="11" s="1"/>
  <c r="F432" i="11" s="1"/>
  <c r="F434" i="11" s="1"/>
  <c r="F436" i="11" s="1"/>
  <c r="F438" i="11" s="1"/>
  <c r="F440" i="11" s="1"/>
  <c r="F442" i="11" s="1"/>
  <c r="F444" i="11" s="1"/>
  <c r="F446" i="11" s="1"/>
  <c r="F448" i="11" s="1"/>
  <c r="F450" i="11" s="1"/>
  <c r="F452" i="11" s="1"/>
  <c r="F454" i="11" s="1"/>
  <c r="F456" i="11" s="1"/>
  <c r="F458" i="11" s="1"/>
  <c r="F460" i="11" s="1"/>
  <c r="F462" i="11" s="1"/>
  <c r="F464" i="11" s="1"/>
  <c r="F466" i="11" s="1"/>
  <c r="F468" i="11" s="1"/>
  <c r="F470" i="11" s="1"/>
  <c r="F472" i="11" s="1"/>
  <c r="F474" i="11" s="1"/>
  <c r="F476" i="11" s="1"/>
  <c r="F478" i="11" s="1"/>
  <c r="F480" i="11" s="1"/>
  <c r="F482" i="11" s="1"/>
  <c r="F484" i="11" s="1"/>
  <c r="F486" i="11" s="1"/>
  <c r="F488" i="11" s="1"/>
  <c r="F490" i="11" s="1"/>
  <c r="F492" i="11" s="1"/>
  <c r="F494" i="11" s="1"/>
  <c r="F496" i="11" s="1"/>
  <c r="F498" i="11" s="1"/>
  <c r="F500" i="11" s="1"/>
  <c r="F502" i="11" s="1"/>
  <c r="F504" i="11" s="1"/>
  <c r="F506" i="11" s="1"/>
  <c r="F508" i="11" s="1"/>
  <c r="F510" i="11" s="1"/>
  <c r="F512" i="11" s="1"/>
  <c r="F514" i="11" s="1"/>
  <c r="F516" i="11" s="1"/>
  <c r="F518" i="11" s="1"/>
  <c r="F520" i="11" s="1"/>
  <c r="F522" i="11" s="1"/>
  <c r="F524" i="11" s="1"/>
  <c r="F526" i="11" s="1"/>
  <c r="F528" i="11" s="1"/>
  <c r="F530" i="11" s="1"/>
  <c r="F532" i="11" s="1"/>
  <c r="F534" i="11" s="1"/>
  <c r="F536" i="11" s="1"/>
  <c r="F538" i="11" s="1"/>
  <c r="F540" i="11" s="1"/>
  <c r="F542" i="11" s="1"/>
  <c r="F544" i="11" s="1"/>
  <c r="F546" i="11" s="1"/>
  <c r="F548" i="11" s="1"/>
  <c r="B549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6" i="11"/>
  <c r="C397" i="11"/>
  <c r="C398" i="11"/>
  <c r="C399" i="11"/>
  <c r="C400" i="11"/>
  <c r="C401" i="11"/>
  <c r="C402" i="11"/>
  <c r="C403" i="11"/>
  <c r="C404" i="11"/>
  <c r="C405" i="11"/>
  <c r="C406" i="11"/>
  <c r="C407" i="11"/>
  <c r="C408" i="11"/>
  <c r="C409" i="11"/>
  <c r="C410" i="11"/>
  <c r="C411" i="11"/>
  <c r="C412" i="11"/>
  <c r="C413" i="11"/>
  <c r="C414" i="11"/>
  <c r="C415" i="11"/>
  <c r="C416" i="11"/>
  <c r="C417" i="11"/>
  <c r="C418" i="11"/>
  <c r="C419" i="11"/>
  <c r="C420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3" i="11"/>
  <c r="C434" i="11"/>
  <c r="C435" i="11"/>
  <c r="C436" i="11"/>
  <c r="C437" i="11"/>
  <c r="C438" i="11"/>
  <c r="C439" i="11"/>
  <c r="C440" i="11"/>
  <c r="C441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54" i="11"/>
  <c r="C455" i="11"/>
  <c r="C456" i="11"/>
  <c r="C457" i="11"/>
  <c r="C458" i="11"/>
  <c r="C459" i="11"/>
  <c r="C460" i="11"/>
  <c r="C461" i="11"/>
  <c r="C462" i="11"/>
  <c r="C463" i="11"/>
  <c r="C464" i="11"/>
  <c r="C465" i="11"/>
  <c r="C466" i="11"/>
  <c r="C467" i="11"/>
  <c r="C468" i="11"/>
  <c r="C469" i="11"/>
  <c r="C470" i="11"/>
  <c r="C471" i="11"/>
  <c r="C472" i="11"/>
  <c r="C473" i="11"/>
  <c r="C474" i="11"/>
  <c r="C475" i="11"/>
  <c r="C476" i="11"/>
  <c r="C477" i="11"/>
  <c r="C478" i="11"/>
  <c r="C479" i="11"/>
  <c r="C480" i="11"/>
  <c r="C481" i="11"/>
  <c r="C482" i="11"/>
  <c r="C483" i="11"/>
  <c r="C484" i="11"/>
  <c r="C485" i="11"/>
  <c r="C486" i="11"/>
  <c r="C487" i="11"/>
  <c r="C488" i="11"/>
  <c r="C489" i="11"/>
  <c r="C490" i="11"/>
  <c r="C491" i="11"/>
  <c r="C492" i="11"/>
  <c r="C493" i="11"/>
  <c r="C494" i="11"/>
  <c r="C495" i="11"/>
  <c r="C496" i="11"/>
  <c r="C497" i="11"/>
  <c r="C498" i="11"/>
  <c r="C499" i="11"/>
  <c r="C500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513" i="11"/>
  <c r="C514" i="11"/>
  <c r="C515" i="11"/>
  <c r="C516" i="11"/>
  <c r="C517" i="11"/>
  <c r="C518" i="11"/>
  <c r="C519" i="11"/>
  <c r="C520" i="11"/>
  <c r="C521" i="11"/>
  <c r="C522" i="11"/>
  <c r="C523" i="11"/>
  <c r="C524" i="11"/>
  <c r="C525" i="11"/>
  <c r="C526" i="11"/>
  <c r="C527" i="11"/>
  <c r="C528" i="11"/>
  <c r="C529" i="11"/>
  <c r="C530" i="11"/>
  <c r="C531" i="11"/>
  <c r="C532" i="11"/>
  <c r="C533" i="11"/>
  <c r="C534" i="11"/>
  <c r="C535" i="11"/>
  <c r="C536" i="11"/>
  <c r="C537" i="11"/>
  <c r="C538" i="11"/>
  <c r="C539" i="11"/>
  <c r="C540" i="11"/>
  <c r="C541" i="11"/>
  <c r="C542" i="11"/>
  <c r="C543" i="11"/>
  <c r="C544" i="11"/>
  <c r="C545" i="11"/>
  <c r="C546" i="11"/>
  <c r="C547" i="11"/>
  <c r="C548" i="11"/>
  <c r="C549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74" i="11"/>
  <c r="B75" i="11"/>
  <c r="B76" i="11"/>
  <c r="B77" i="11"/>
  <c r="B78" i="11"/>
  <c r="B79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19" i="11"/>
  <c r="B120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3" i="11"/>
  <c r="B224" i="11"/>
  <c r="B225" i="11"/>
  <c r="B226" i="11"/>
  <c r="B227" i="11"/>
  <c r="B228" i="11"/>
  <c r="B229" i="11"/>
  <c r="B230" i="11"/>
  <c r="B231" i="11"/>
  <c r="B232" i="11"/>
  <c r="B233" i="11"/>
  <c r="B234" i="11"/>
  <c r="B235" i="1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368" i="11"/>
  <c r="B369" i="11"/>
  <c r="B370" i="11"/>
  <c r="B371" i="11"/>
  <c r="B372" i="11"/>
  <c r="B373" i="11"/>
  <c r="B374" i="11"/>
  <c r="B375" i="11"/>
  <c r="B376" i="11"/>
  <c r="B377" i="11"/>
  <c r="B378" i="11"/>
  <c r="B379" i="11"/>
  <c r="B380" i="11"/>
  <c r="B381" i="11"/>
  <c r="B382" i="11"/>
  <c r="B383" i="11"/>
  <c r="B384" i="11"/>
  <c r="B385" i="11"/>
  <c r="B386" i="11"/>
  <c r="B387" i="11"/>
  <c r="B388" i="11"/>
  <c r="B389" i="11"/>
  <c r="B390" i="11"/>
  <c r="B391" i="11"/>
  <c r="B392" i="11"/>
  <c r="B393" i="11"/>
  <c r="B394" i="11"/>
  <c r="B395" i="11"/>
  <c r="B396" i="11"/>
  <c r="B397" i="11"/>
  <c r="B398" i="11"/>
  <c r="B399" i="11"/>
  <c r="B400" i="11"/>
  <c r="B401" i="11"/>
  <c r="B402" i="11"/>
  <c r="B403" i="11"/>
  <c r="B404" i="11"/>
  <c r="B405" i="11"/>
  <c r="B406" i="11"/>
  <c r="B407" i="11"/>
  <c r="B408" i="11"/>
  <c r="B409" i="11"/>
  <c r="B410" i="11"/>
  <c r="B411" i="11"/>
  <c r="B412" i="11"/>
  <c r="B413" i="11"/>
  <c r="B414" i="11"/>
  <c r="B415" i="11"/>
  <c r="B416" i="11"/>
  <c r="B417" i="11"/>
  <c r="B418" i="11"/>
  <c r="B419" i="11"/>
  <c r="B420" i="11"/>
  <c r="B421" i="11"/>
  <c r="B422" i="11"/>
  <c r="B423" i="11"/>
  <c r="B424" i="11"/>
  <c r="B425" i="11"/>
  <c r="B426" i="11"/>
  <c r="B427" i="11"/>
  <c r="B428" i="11"/>
  <c r="B429" i="11"/>
  <c r="B430" i="11"/>
  <c r="B431" i="11"/>
  <c r="B432" i="11"/>
  <c r="B433" i="11"/>
  <c r="B434" i="11"/>
  <c r="B435" i="11"/>
  <c r="B436" i="11"/>
  <c r="B437" i="11"/>
  <c r="B438" i="11"/>
  <c r="B439" i="11"/>
  <c r="B440" i="11"/>
  <c r="B441" i="11"/>
  <c r="B442" i="11"/>
  <c r="B443" i="11"/>
  <c r="B444" i="11"/>
  <c r="B445" i="11"/>
  <c r="B446" i="11"/>
  <c r="B447" i="11"/>
  <c r="B448" i="11"/>
  <c r="B449" i="11"/>
  <c r="B450" i="11"/>
  <c r="B451" i="11"/>
  <c r="B452" i="11"/>
  <c r="B453" i="11"/>
  <c r="B454" i="11"/>
  <c r="B455" i="11"/>
  <c r="B456" i="11"/>
  <c r="B457" i="11"/>
  <c r="B458" i="11"/>
  <c r="B459" i="11"/>
  <c r="B460" i="11"/>
  <c r="B461" i="11"/>
  <c r="B462" i="11"/>
  <c r="B463" i="11"/>
  <c r="B464" i="11"/>
  <c r="B465" i="11"/>
  <c r="B466" i="11"/>
  <c r="B467" i="11"/>
  <c r="B468" i="11"/>
  <c r="B469" i="11"/>
  <c r="B470" i="11"/>
  <c r="B471" i="11"/>
  <c r="B472" i="11"/>
  <c r="B473" i="11"/>
  <c r="B474" i="11"/>
  <c r="B475" i="11"/>
  <c r="B476" i="11"/>
  <c r="B477" i="11"/>
  <c r="B478" i="11"/>
  <c r="B479" i="11"/>
  <c r="B480" i="11"/>
  <c r="B481" i="11"/>
  <c r="B482" i="11"/>
  <c r="B483" i="11"/>
  <c r="B484" i="11"/>
  <c r="B485" i="11"/>
  <c r="B486" i="11"/>
  <c r="B487" i="11"/>
  <c r="B488" i="11"/>
  <c r="B489" i="11"/>
  <c r="B490" i="11"/>
  <c r="B491" i="11"/>
  <c r="B492" i="11"/>
  <c r="B493" i="11"/>
  <c r="B494" i="11"/>
  <c r="B495" i="11"/>
  <c r="B496" i="11"/>
  <c r="B497" i="11"/>
  <c r="B498" i="11"/>
  <c r="B499" i="11"/>
  <c r="B500" i="11"/>
  <c r="B501" i="11"/>
  <c r="B502" i="11"/>
  <c r="B503" i="11"/>
  <c r="B504" i="11"/>
  <c r="B505" i="11"/>
  <c r="B506" i="11"/>
  <c r="B507" i="11"/>
  <c r="B508" i="11"/>
  <c r="B509" i="11"/>
  <c r="B510" i="11"/>
  <c r="B511" i="11"/>
  <c r="B512" i="11"/>
  <c r="B513" i="11"/>
  <c r="B514" i="11"/>
  <c r="B515" i="11"/>
  <c r="B516" i="11"/>
  <c r="B517" i="11"/>
  <c r="B518" i="11"/>
  <c r="B519" i="11"/>
  <c r="B520" i="11"/>
  <c r="B521" i="11"/>
  <c r="B522" i="11"/>
  <c r="B523" i="11"/>
  <c r="B524" i="11"/>
  <c r="B525" i="11"/>
  <c r="B526" i="11"/>
  <c r="B527" i="11"/>
  <c r="B528" i="11"/>
  <c r="B529" i="11"/>
  <c r="B530" i="11"/>
  <c r="B531" i="11"/>
  <c r="B532" i="11"/>
  <c r="B533" i="11"/>
  <c r="B534" i="11"/>
  <c r="B535" i="11"/>
  <c r="B536" i="11"/>
  <c r="B537" i="11"/>
  <c r="B538" i="11"/>
  <c r="B539" i="11"/>
  <c r="B540" i="11"/>
  <c r="B541" i="11"/>
  <c r="B542" i="11"/>
  <c r="B543" i="11"/>
  <c r="B544" i="11"/>
  <c r="B545" i="11"/>
  <c r="B546" i="11"/>
  <c r="B547" i="11"/>
  <c r="B548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0" i="11"/>
  <c r="A191" i="11"/>
  <c r="A192" i="11"/>
  <c r="A193" i="11"/>
  <c r="A194" i="11"/>
  <c r="A195" i="11"/>
  <c r="A196" i="11"/>
  <c r="A197" i="11"/>
  <c r="A198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2" i="11"/>
  <c r="A213" i="11"/>
  <c r="A214" i="11"/>
  <c r="A215" i="11"/>
  <c r="A216" i="11"/>
  <c r="A217" i="11"/>
  <c r="A218" i="11"/>
  <c r="A219" i="11"/>
  <c r="A220" i="11"/>
  <c r="A221" i="11"/>
  <c r="A222" i="11"/>
  <c r="A223" i="11"/>
  <c r="A224" i="11"/>
  <c r="A225" i="11"/>
  <c r="A226" i="11"/>
  <c r="A227" i="11"/>
  <c r="A228" i="11"/>
  <c r="A229" i="11"/>
  <c r="A230" i="11"/>
  <c r="A231" i="11"/>
  <c r="A232" i="11"/>
  <c r="A233" i="11"/>
  <c r="A234" i="11"/>
  <c r="A235" i="11"/>
  <c r="A236" i="11"/>
  <c r="A237" i="11"/>
  <c r="A238" i="11"/>
  <c r="A239" i="11"/>
  <c r="A240" i="11"/>
  <c r="A241" i="11"/>
  <c r="A242" i="11"/>
  <c r="A243" i="11"/>
  <c r="A244" i="11"/>
  <c r="A245" i="11"/>
  <c r="A246" i="11"/>
  <c r="A247" i="11"/>
  <c r="A248" i="11"/>
  <c r="A249" i="11"/>
  <c r="A250" i="11"/>
  <c r="A251" i="11"/>
  <c r="A252" i="11"/>
  <c r="A253" i="11"/>
  <c r="A254" i="11"/>
  <c r="A255" i="11"/>
  <c r="A256" i="11"/>
  <c r="A257" i="11"/>
  <c r="A258" i="11"/>
  <c r="A259" i="11"/>
  <c r="A260" i="11"/>
  <c r="A261" i="11"/>
  <c r="A262" i="11"/>
  <c r="A263" i="11"/>
  <c r="A264" i="11"/>
  <c r="A265" i="11"/>
  <c r="A266" i="11"/>
  <c r="A267" i="11"/>
  <c r="A268" i="11"/>
  <c r="A269" i="11"/>
  <c r="A270" i="11"/>
  <c r="A271" i="11"/>
  <c r="A272" i="11"/>
  <c r="A273" i="11"/>
  <c r="A274" i="11"/>
  <c r="A275" i="11"/>
  <c r="A276" i="11"/>
  <c r="A277" i="11"/>
  <c r="A278" i="11"/>
  <c r="A279" i="11"/>
  <c r="A280" i="11"/>
  <c r="A281" i="11"/>
  <c r="A282" i="11"/>
  <c r="A283" i="11"/>
  <c r="A284" i="11"/>
  <c r="A285" i="11"/>
  <c r="A286" i="11"/>
  <c r="A287" i="11"/>
  <c r="A288" i="11"/>
  <c r="A289" i="11"/>
  <c r="A290" i="11"/>
  <c r="A291" i="11"/>
  <c r="A292" i="11"/>
  <c r="A293" i="11"/>
  <c r="A294" i="11"/>
  <c r="A295" i="11"/>
  <c r="A296" i="11"/>
  <c r="A297" i="11"/>
  <c r="A298" i="11"/>
  <c r="A299" i="11"/>
  <c r="A300" i="11"/>
  <c r="A301" i="11"/>
  <c r="A302" i="11"/>
  <c r="A303" i="11"/>
  <c r="A304" i="11"/>
  <c r="A305" i="11"/>
  <c r="A306" i="11"/>
  <c r="A307" i="11"/>
  <c r="A308" i="11"/>
  <c r="A309" i="11"/>
  <c r="A310" i="11"/>
  <c r="A311" i="11"/>
  <c r="A312" i="11"/>
  <c r="A313" i="11"/>
  <c r="A314" i="11"/>
  <c r="A315" i="11"/>
  <c r="A316" i="11"/>
  <c r="A317" i="11"/>
  <c r="A318" i="11"/>
  <c r="A319" i="11"/>
  <c r="A320" i="11"/>
  <c r="A321" i="11"/>
  <c r="A322" i="11"/>
  <c r="A323" i="11"/>
  <c r="A324" i="11"/>
  <c r="A325" i="11"/>
  <c r="A326" i="11"/>
  <c r="A327" i="11"/>
  <c r="A328" i="11"/>
  <c r="A329" i="11"/>
  <c r="A330" i="11"/>
  <c r="A331" i="11"/>
  <c r="A332" i="11"/>
  <c r="A333" i="11"/>
  <c r="A334" i="11"/>
  <c r="A335" i="11"/>
  <c r="A336" i="11"/>
  <c r="A337" i="11"/>
  <c r="A338" i="11"/>
  <c r="A339" i="11"/>
  <c r="A340" i="11"/>
  <c r="A341" i="11"/>
  <c r="A342" i="11"/>
  <c r="A343" i="11"/>
  <c r="A344" i="11"/>
  <c r="A345" i="11"/>
  <c r="A346" i="11"/>
  <c r="A347" i="11"/>
  <c r="A348" i="11"/>
  <c r="A349" i="11"/>
  <c r="A350" i="11"/>
  <c r="A351" i="11"/>
  <c r="A352" i="11"/>
  <c r="A353" i="11"/>
  <c r="A354" i="11"/>
  <c r="A355" i="11"/>
  <c r="A356" i="11"/>
  <c r="A357" i="11"/>
  <c r="A358" i="11"/>
  <c r="A359" i="11"/>
  <c r="A360" i="11"/>
  <c r="A361" i="11"/>
  <c r="A362" i="11"/>
  <c r="A363" i="11"/>
  <c r="A364" i="11"/>
  <c r="A365" i="11"/>
  <c r="A366" i="11"/>
  <c r="A367" i="11"/>
  <c r="A368" i="11"/>
  <c r="A369" i="11"/>
  <c r="A370" i="11"/>
  <c r="A371" i="11"/>
  <c r="A372" i="11"/>
  <c r="A373" i="11"/>
  <c r="A374" i="11"/>
  <c r="A375" i="11"/>
  <c r="A376" i="11"/>
  <c r="A377" i="11"/>
  <c r="A378" i="11"/>
  <c r="A379" i="11"/>
  <c r="A380" i="11"/>
  <c r="A381" i="11"/>
  <c r="A382" i="11"/>
  <c r="A383" i="11"/>
  <c r="A384" i="11"/>
  <c r="A385" i="11"/>
  <c r="A386" i="11"/>
  <c r="A387" i="11"/>
  <c r="A388" i="11"/>
  <c r="A389" i="11"/>
  <c r="A390" i="11"/>
  <c r="A391" i="11"/>
  <c r="A392" i="11"/>
  <c r="A393" i="11"/>
  <c r="A394" i="11"/>
  <c r="A395" i="11"/>
  <c r="A396" i="11"/>
  <c r="A397" i="11"/>
  <c r="A398" i="11"/>
  <c r="A399" i="11"/>
  <c r="A400" i="11"/>
  <c r="A401" i="11"/>
  <c r="A402" i="11"/>
  <c r="A403" i="11"/>
  <c r="A404" i="11"/>
  <c r="A405" i="11"/>
  <c r="A406" i="11"/>
  <c r="A407" i="11"/>
  <c r="A408" i="11"/>
  <c r="A409" i="11"/>
  <c r="A410" i="11"/>
  <c r="A411" i="11"/>
  <c r="A412" i="11"/>
  <c r="A413" i="11"/>
  <c r="A414" i="11"/>
  <c r="A415" i="11"/>
  <c r="A416" i="11"/>
  <c r="A417" i="11"/>
  <c r="A418" i="11"/>
  <c r="A419" i="11"/>
  <c r="A420" i="11"/>
  <c r="A421" i="11"/>
  <c r="A422" i="11"/>
  <c r="A423" i="11"/>
  <c r="A424" i="11"/>
  <c r="A425" i="11"/>
  <c r="A426" i="11"/>
  <c r="A427" i="11"/>
  <c r="A428" i="11"/>
  <c r="A429" i="11"/>
  <c r="A430" i="11"/>
  <c r="A431" i="11"/>
  <c r="A432" i="11"/>
  <c r="A433" i="11"/>
  <c r="A434" i="11"/>
  <c r="A435" i="11"/>
  <c r="A436" i="11"/>
  <c r="A437" i="11"/>
  <c r="A438" i="11"/>
  <c r="A439" i="11"/>
  <c r="A440" i="11"/>
  <c r="A441" i="11"/>
  <c r="A442" i="11"/>
  <c r="A443" i="11"/>
  <c r="A444" i="11"/>
  <c r="A445" i="11"/>
  <c r="A446" i="11"/>
  <c r="A447" i="11"/>
  <c r="A448" i="11"/>
  <c r="A449" i="11"/>
  <c r="A450" i="11"/>
  <c r="A451" i="11"/>
  <c r="A452" i="11"/>
  <c r="A453" i="11"/>
  <c r="A454" i="11"/>
  <c r="A455" i="11"/>
  <c r="A456" i="11"/>
  <c r="A457" i="11"/>
  <c r="A458" i="11"/>
  <c r="A459" i="11"/>
  <c r="A460" i="11"/>
  <c r="A461" i="11"/>
  <c r="A462" i="11"/>
  <c r="A463" i="11"/>
  <c r="A464" i="11"/>
  <c r="A465" i="11"/>
  <c r="A466" i="11"/>
  <c r="A467" i="11"/>
  <c r="A468" i="11"/>
  <c r="A469" i="11"/>
  <c r="A470" i="11"/>
  <c r="A471" i="11"/>
  <c r="A472" i="11"/>
  <c r="A473" i="11"/>
  <c r="A474" i="11"/>
  <c r="A475" i="11"/>
  <c r="A476" i="11"/>
  <c r="A477" i="11"/>
  <c r="A478" i="11"/>
  <c r="A479" i="11"/>
  <c r="A480" i="11"/>
  <c r="A481" i="11"/>
  <c r="A482" i="11"/>
  <c r="A483" i="11"/>
  <c r="A484" i="11"/>
  <c r="A485" i="11"/>
  <c r="A486" i="11"/>
  <c r="A487" i="11"/>
  <c r="A488" i="11"/>
  <c r="A489" i="11"/>
  <c r="A490" i="11"/>
  <c r="A491" i="11"/>
  <c r="A492" i="11"/>
  <c r="A493" i="11"/>
  <c r="A494" i="11"/>
  <c r="A495" i="11"/>
  <c r="A496" i="11"/>
  <c r="A497" i="11"/>
  <c r="A498" i="11"/>
  <c r="A499" i="11"/>
  <c r="A500" i="11"/>
  <c r="A501" i="11"/>
  <c r="A502" i="11"/>
  <c r="A503" i="11"/>
  <c r="A504" i="11"/>
  <c r="A505" i="11"/>
  <c r="A506" i="11"/>
  <c r="A507" i="11"/>
  <c r="A508" i="11"/>
  <c r="A509" i="11"/>
  <c r="A510" i="11"/>
  <c r="A511" i="11"/>
  <c r="A512" i="11"/>
  <c r="A513" i="11"/>
  <c r="A514" i="11"/>
  <c r="A515" i="11"/>
  <c r="A516" i="11"/>
  <c r="A517" i="11"/>
  <c r="A518" i="11"/>
  <c r="A519" i="11"/>
  <c r="A520" i="11"/>
  <c r="A521" i="11"/>
  <c r="A522" i="11"/>
  <c r="A523" i="11"/>
  <c r="A524" i="11"/>
  <c r="A525" i="11"/>
  <c r="A526" i="11"/>
  <c r="A527" i="11"/>
  <c r="A528" i="11"/>
  <c r="A529" i="11"/>
  <c r="A530" i="11"/>
  <c r="A531" i="11"/>
  <c r="A532" i="11"/>
  <c r="A533" i="11"/>
  <c r="A534" i="11"/>
  <c r="A535" i="11"/>
  <c r="A536" i="11"/>
  <c r="A537" i="11"/>
  <c r="A538" i="11"/>
  <c r="A539" i="11"/>
  <c r="A540" i="11"/>
  <c r="A541" i="11"/>
  <c r="A542" i="11"/>
  <c r="A543" i="11"/>
  <c r="A544" i="11"/>
  <c r="A545" i="11"/>
  <c r="A546" i="11"/>
  <c r="A547" i="11"/>
  <c r="A548" i="11"/>
  <c r="A549" i="11"/>
  <c r="G764" i="7" l="1"/>
  <c r="G690" i="7"/>
  <c r="G763" i="7"/>
  <c r="G762" i="7"/>
  <c r="G759" i="7"/>
  <c r="G758" i="7"/>
  <c r="G752" i="7"/>
  <c r="G751" i="7"/>
  <c r="G749" i="7"/>
  <c r="G748" i="7"/>
  <c r="G747" i="7"/>
  <c r="G745" i="7"/>
  <c r="G744" i="7"/>
  <c r="G742" i="7"/>
  <c r="G741" i="7"/>
  <c r="G740" i="7"/>
  <c r="G739" i="7"/>
  <c r="G738" i="7"/>
  <c r="G737" i="7"/>
  <c r="G736" i="7"/>
  <c r="G735" i="7"/>
  <c r="G734" i="7"/>
  <c r="G732" i="7"/>
  <c r="G731" i="7"/>
  <c r="G730" i="7"/>
  <c r="G729" i="7"/>
  <c r="G727" i="7"/>
  <c r="G726" i="7"/>
  <c r="G725" i="7"/>
  <c r="G723" i="7"/>
  <c r="G724" i="7"/>
  <c r="G722" i="7"/>
  <c r="G721" i="7"/>
  <c r="G720" i="7"/>
  <c r="K25" i="9" s="1"/>
  <c r="G719" i="7"/>
  <c r="G718" i="7"/>
  <c r="G716" i="7"/>
  <c r="G715" i="7"/>
  <c r="G714" i="7"/>
  <c r="G713" i="7"/>
  <c r="G711" i="7"/>
  <c r="G710" i="7"/>
  <c r="G709" i="7"/>
  <c r="G707" i="7"/>
  <c r="G706" i="7"/>
  <c r="G705" i="7"/>
  <c r="G700" i="7"/>
  <c r="G699" i="7"/>
  <c r="G698" i="7"/>
  <c r="G697" i="7"/>
  <c r="G696" i="7"/>
  <c r="G694" i="7"/>
  <c r="G693" i="7"/>
  <c r="G692" i="7"/>
  <c r="G691" i="7"/>
  <c r="G688" i="7"/>
  <c r="G687" i="7"/>
  <c r="G686" i="7"/>
  <c r="G685" i="7"/>
  <c r="G684" i="7"/>
  <c r="G682" i="7"/>
  <c r="G681" i="7"/>
  <c r="G680" i="7"/>
  <c r="G679" i="7"/>
  <c r="G677" i="7"/>
  <c r="G676" i="7"/>
  <c r="G674" i="7"/>
  <c r="G672" i="7"/>
  <c r="G671" i="7"/>
  <c r="G669" i="7"/>
  <c r="G668" i="7"/>
  <c r="G667" i="7"/>
  <c r="G666" i="7"/>
  <c r="G665" i="7"/>
  <c r="G663" i="7"/>
  <c r="G662" i="7"/>
  <c r="G661" i="7"/>
  <c r="G659" i="7"/>
  <c r="G658" i="7"/>
  <c r="G657" i="7"/>
  <c r="G656" i="7"/>
  <c r="G654" i="7"/>
  <c r="G652" i="7"/>
  <c r="G651" i="7"/>
  <c r="G650" i="7"/>
  <c r="G649" i="7"/>
  <c r="G648" i="7"/>
  <c r="G647" i="7"/>
  <c r="G646" i="7"/>
  <c r="G644" i="7"/>
  <c r="G643" i="7"/>
  <c r="G570" i="7"/>
  <c r="G569" i="7"/>
  <c r="G568" i="7"/>
  <c r="G567" i="7"/>
  <c r="G566" i="7"/>
  <c r="K11" i="9" l="1"/>
  <c r="K29" i="9"/>
  <c r="K17" i="9"/>
  <c r="K9" i="9"/>
  <c r="G761" i="7"/>
  <c r="K31" i="9" s="1"/>
  <c r="G10" i="7" l="1"/>
  <c r="G11" i="7" s="1"/>
  <c r="C3" i="7" l="1"/>
  <c r="D3" i="7"/>
  <c r="G7" i="11" l="1"/>
  <c r="E7" i="11"/>
  <c r="C553" i="11" s="1"/>
  <c r="D7" i="11"/>
  <c r="C552" i="11" s="1"/>
  <c r="C7" i="11"/>
  <c r="B7" i="11"/>
  <c r="F766" i="11" s="1"/>
  <c r="A7" i="11"/>
  <c r="E551" i="7"/>
  <c r="F551" i="7"/>
  <c r="F765" i="11" l="1"/>
  <c r="F740" i="11"/>
  <c r="F721" i="11"/>
  <c r="F698" i="11"/>
  <c r="F678" i="11"/>
  <c r="F657" i="11"/>
  <c r="F749" i="11"/>
  <c r="F730" i="11"/>
  <c r="F710" i="11"/>
  <c r="F687" i="11"/>
  <c r="F666" i="11"/>
  <c r="F645" i="11"/>
  <c r="F742" i="11"/>
  <c r="F724" i="11"/>
  <c r="F700" i="11"/>
  <c r="F681" i="11"/>
  <c r="F659" i="11"/>
  <c r="F752" i="11"/>
  <c r="F732" i="11"/>
  <c r="F712" i="11"/>
  <c r="F689" i="11"/>
  <c r="F668" i="11"/>
  <c r="F648" i="11"/>
  <c r="F663" i="11"/>
  <c r="F651" i="11"/>
  <c r="F760" i="11"/>
  <c r="F736" i="11"/>
  <c r="F716" i="11"/>
  <c r="F693" i="11"/>
  <c r="F672" i="11"/>
  <c r="F647" i="11"/>
  <c r="F743" i="11"/>
  <c r="F725" i="11"/>
  <c r="F701" i="11"/>
  <c r="F682" i="11"/>
  <c r="F660" i="11"/>
  <c r="F763" i="11"/>
  <c r="F738" i="11"/>
  <c r="F719" i="11"/>
  <c r="F695" i="11"/>
  <c r="F675" i="11"/>
  <c r="F653" i="11"/>
  <c r="F746" i="11"/>
  <c r="F727" i="11"/>
  <c r="F707" i="11"/>
  <c r="F685" i="11"/>
  <c r="F750" i="11"/>
  <c r="F731" i="11"/>
  <c r="F711" i="11"/>
  <c r="F688" i="11"/>
  <c r="F667" i="11"/>
  <c r="F764" i="11"/>
  <c r="F739" i="11"/>
  <c r="F720" i="11"/>
  <c r="F697" i="11"/>
  <c r="F677" i="11"/>
  <c r="F655" i="11"/>
  <c r="F753" i="11"/>
  <c r="F733" i="11"/>
  <c r="F714" i="11"/>
  <c r="F691" i="11"/>
  <c r="F669" i="11"/>
  <c r="F649" i="11"/>
  <c r="F741" i="11"/>
  <c r="F722" i="11"/>
  <c r="F699" i="11"/>
  <c r="F680" i="11"/>
  <c r="F658" i="11"/>
  <c r="F745" i="11"/>
  <c r="F726" i="11"/>
  <c r="F706" i="11"/>
  <c r="F683" i="11"/>
  <c r="F662" i="11"/>
  <c r="F759" i="11"/>
  <c r="F735" i="11"/>
  <c r="F715" i="11"/>
  <c r="F692" i="11"/>
  <c r="F670" i="11"/>
  <c r="F650" i="11"/>
  <c r="F748" i="11"/>
  <c r="F728" i="11"/>
  <c r="F708" i="11"/>
  <c r="F686" i="11"/>
  <c r="F664" i="11"/>
  <c r="F762" i="11"/>
  <c r="F737" i="11"/>
  <c r="F717" i="11"/>
  <c r="F694" i="11"/>
  <c r="F673" i="11"/>
  <c r="F652" i="11"/>
  <c r="F644" i="11"/>
  <c r="J764" i="7"/>
  <c r="J765" i="7"/>
  <c r="J675" i="7"/>
  <c r="J676" i="7"/>
  <c r="J677" i="7"/>
  <c r="J678" i="7"/>
  <c r="J670" i="7"/>
  <c r="J671" i="7"/>
  <c r="J672" i="7"/>
  <c r="J673" i="7"/>
  <c r="J669" i="7"/>
  <c r="G631" i="7" l="1"/>
  <c r="G632" i="7"/>
  <c r="J631" i="7"/>
  <c r="J632" i="7"/>
  <c r="J633" i="7"/>
  <c r="G624" i="7"/>
  <c r="G623" i="7"/>
  <c r="G622" i="7"/>
  <c r="J617" i="7"/>
  <c r="J618" i="7"/>
  <c r="J619" i="7"/>
  <c r="J620" i="7"/>
  <c r="J621" i="7"/>
  <c r="J622" i="7"/>
  <c r="J623" i="7"/>
  <c r="J624" i="7"/>
  <c r="J625" i="7"/>
  <c r="J626" i="7"/>
  <c r="G618" i="7"/>
  <c r="G617" i="7"/>
  <c r="G616" i="7"/>
  <c r="G620" i="7"/>
  <c r="G621" i="7"/>
  <c r="E31" i="9" l="1"/>
  <c r="E35" i="9"/>
  <c r="F5" i="11"/>
  <c r="F7" i="11" s="1"/>
  <c r="F9" i="11" s="1"/>
  <c r="F11" i="11" s="1"/>
  <c r="F13" i="11" s="1"/>
  <c r="F15" i="11" s="1"/>
  <c r="F17" i="11" s="1"/>
  <c r="F19" i="11" s="1"/>
  <c r="F21" i="11" s="1"/>
  <c r="F23" i="11" s="1"/>
  <c r="F25" i="11" s="1"/>
  <c r="F27" i="11" s="1"/>
  <c r="F29" i="11" s="1"/>
  <c r="F31" i="11" s="1"/>
  <c r="F33" i="11" s="1"/>
  <c r="F35" i="11" s="1"/>
  <c r="F37" i="11" s="1"/>
  <c r="F39" i="11" s="1"/>
  <c r="F41" i="11" s="1"/>
  <c r="F43" i="11" s="1"/>
  <c r="F45" i="11" s="1"/>
  <c r="F47" i="11" s="1"/>
  <c r="F49" i="11" s="1"/>
  <c r="F51" i="11" s="1"/>
  <c r="F53" i="11" s="1"/>
  <c r="F55" i="11" s="1"/>
  <c r="F57" i="11" s="1"/>
  <c r="F59" i="11" s="1"/>
  <c r="F61" i="11" s="1"/>
  <c r="F63" i="11" s="1"/>
  <c r="F65" i="11" s="1"/>
  <c r="F67" i="11" s="1"/>
  <c r="F69" i="11" s="1"/>
  <c r="F71" i="11" s="1"/>
  <c r="F73" i="11" s="1"/>
  <c r="F75" i="11" s="1"/>
  <c r="F77" i="11" s="1"/>
  <c r="F79" i="11" s="1"/>
  <c r="F81" i="11" s="1"/>
  <c r="F83" i="11" s="1"/>
  <c r="F85" i="11" s="1"/>
  <c r="F87" i="11" s="1"/>
  <c r="F89" i="11" s="1"/>
  <c r="F91" i="11" s="1"/>
  <c r="F93" i="11" s="1"/>
  <c r="F95" i="11" s="1"/>
  <c r="F97" i="11" s="1"/>
  <c r="F99" i="11" s="1"/>
  <c r="F101" i="11" s="1"/>
  <c r="F103" i="11" s="1"/>
  <c r="F105" i="11" s="1"/>
  <c r="F107" i="11" s="1"/>
  <c r="F109" i="11" s="1"/>
  <c r="F111" i="11" s="1"/>
  <c r="F113" i="11" s="1"/>
  <c r="F115" i="11" s="1"/>
  <c r="F117" i="11" s="1"/>
  <c r="F119" i="11" s="1"/>
  <c r="F121" i="11" s="1"/>
  <c r="F123" i="11" s="1"/>
  <c r="F125" i="11" s="1"/>
  <c r="F127" i="11" s="1"/>
  <c r="F129" i="11" s="1"/>
  <c r="F131" i="11" s="1"/>
  <c r="F133" i="11" s="1"/>
  <c r="F135" i="11" s="1"/>
  <c r="F137" i="11" s="1"/>
  <c r="F139" i="11" s="1"/>
  <c r="F141" i="11" s="1"/>
  <c r="F143" i="11" s="1"/>
  <c r="F145" i="11" s="1"/>
  <c r="F147" i="11" s="1"/>
  <c r="F149" i="11" s="1"/>
  <c r="F151" i="11" s="1"/>
  <c r="F153" i="11" s="1"/>
  <c r="F155" i="11" s="1"/>
  <c r="F157" i="11" s="1"/>
  <c r="F159" i="11" s="1"/>
  <c r="F161" i="11" s="1"/>
  <c r="F163" i="11" s="1"/>
  <c r="F165" i="11" s="1"/>
  <c r="F167" i="11" s="1"/>
  <c r="F169" i="11" s="1"/>
  <c r="F171" i="11" s="1"/>
  <c r="F173" i="11" s="1"/>
  <c r="F175" i="11" s="1"/>
  <c r="F177" i="11" s="1"/>
  <c r="F179" i="11" s="1"/>
  <c r="F181" i="11" s="1"/>
  <c r="F183" i="11" s="1"/>
  <c r="F185" i="11" s="1"/>
  <c r="F187" i="11" s="1"/>
  <c r="F189" i="11" s="1"/>
  <c r="F191" i="11" s="1"/>
  <c r="F193" i="11" s="1"/>
  <c r="F195" i="11" s="1"/>
  <c r="F197" i="11" s="1"/>
  <c r="F199" i="11" s="1"/>
  <c r="F201" i="11" s="1"/>
  <c r="F203" i="11" s="1"/>
  <c r="F205" i="11" s="1"/>
  <c r="F207" i="11" s="1"/>
  <c r="F209" i="11" s="1"/>
  <c r="F211" i="11" s="1"/>
  <c r="F213" i="11" s="1"/>
  <c r="F215" i="11" s="1"/>
  <c r="F217" i="11" s="1"/>
  <c r="F219" i="11" s="1"/>
  <c r="F221" i="11" s="1"/>
  <c r="F223" i="11" s="1"/>
  <c r="F225" i="11" s="1"/>
  <c r="F227" i="11" s="1"/>
  <c r="F229" i="11" s="1"/>
  <c r="F231" i="11" s="1"/>
  <c r="F233" i="11" s="1"/>
  <c r="F235" i="11" s="1"/>
  <c r="F237" i="11" s="1"/>
  <c r="F239" i="11" s="1"/>
  <c r="F241" i="11" s="1"/>
  <c r="F243" i="11" s="1"/>
  <c r="F245" i="11" s="1"/>
  <c r="F247" i="11" s="1"/>
  <c r="F249" i="11" s="1"/>
  <c r="F251" i="11" s="1"/>
  <c r="F253" i="11" s="1"/>
  <c r="F255" i="11" s="1"/>
  <c r="F257" i="11" s="1"/>
  <c r="F259" i="11" s="1"/>
  <c r="F261" i="11" s="1"/>
  <c r="F263" i="11" s="1"/>
  <c r="F265" i="11" s="1"/>
  <c r="F267" i="11" s="1"/>
  <c r="F269" i="11" s="1"/>
  <c r="F271" i="11" s="1"/>
  <c r="F273" i="11" s="1"/>
  <c r="F275" i="11" s="1"/>
  <c r="F277" i="11" s="1"/>
  <c r="F279" i="11" s="1"/>
  <c r="F281" i="11" s="1"/>
  <c r="F283" i="11" s="1"/>
  <c r="F285" i="11" s="1"/>
  <c r="F287" i="11" s="1"/>
  <c r="F289" i="11" s="1"/>
  <c r="F291" i="11" s="1"/>
  <c r="F293" i="11" s="1"/>
  <c r="F295" i="11" s="1"/>
  <c r="F297" i="11" s="1"/>
  <c r="F299" i="11" s="1"/>
  <c r="F301" i="11" s="1"/>
  <c r="F303" i="11" s="1"/>
  <c r="F305" i="11" s="1"/>
  <c r="F307" i="11" s="1"/>
  <c r="F309" i="11" s="1"/>
  <c r="F311" i="11" s="1"/>
  <c r="F313" i="11" s="1"/>
  <c r="F315" i="11" s="1"/>
  <c r="F317" i="11" s="1"/>
  <c r="F319" i="11" s="1"/>
  <c r="F321" i="11" s="1"/>
  <c r="F323" i="11" s="1"/>
  <c r="F325" i="11" s="1"/>
  <c r="F327" i="11" s="1"/>
  <c r="F329" i="11" s="1"/>
  <c r="F331" i="11" s="1"/>
  <c r="F333" i="11" s="1"/>
  <c r="F335" i="11" s="1"/>
  <c r="F337" i="11" s="1"/>
  <c r="F339" i="11" s="1"/>
  <c r="F341" i="11" s="1"/>
  <c r="F343" i="11" s="1"/>
  <c r="F345" i="11" s="1"/>
  <c r="F347" i="11" s="1"/>
  <c r="F349" i="11" s="1"/>
  <c r="F351" i="11" s="1"/>
  <c r="F353" i="11" s="1"/>
  <c r="F355" i="11" s="1"/>
  <c r="F357" i="11" s="1"/>
  <c r="F359" i="11" s="1"/>
  <c r="F361" i="11" s="1"/>
  <c r="F363" i="11" s="1"/>
  <c r="F365" i="11" s="1"/>
  <c r="F367" i="11" s="1"/>
  <c r="F369" i="11" s="1"/>
  <c r="F371" i="11" s="1"/>
  <c r="F373" i="11" s="1"/>
  <c r="F375" i="11" s="1"/>
  <c r="F377" i="11" s="1"/>
  <c r="F379" i="11" s="1"/>
  <c r="F381" i="11" s="1"/>
  <c r="F383" i="11" s="1"/>
  <c r="F385" i="11" s="1"/>
  <c r="F387" i="11" s="1"/>
  <c r="F389" i="11" s="1"/>
  <c r="F391" i="11" s="1"/>
  <c r="F393" i="11" s="1"/>
  <c r="F395" i="11" s="1"/>
  <c r="F397" i="11" s="1"/>
  <c r="F399" i="11" s="1"/>
  <c r="F401" i="11" s="1"/>
  <c r="F403" i="11" s="1"/>
  <c r="F405" i="11" s="1"/>
  <c r="F407" i="11" s="1"/>
  <c r="F409" i="11" s="1"/>
  <c r="F411" i="11" s="1"/>
  <c r="F413" i="11" s="1"/>
  <c r="F415" i="11" s="1"/>
  <c r="F417" i="11" s="1"/>
  <c r="F419" i="11" s="1"/>
  <c r="F421" i="11" s="1"/>
  <c r="F423" i="11" s="1"/>
  <c r="F425" i="11" s="1"/>
  <c r="F427" i="11" s="1"/>
  <c r="F429" i="11" s="1"/>
  <c r="F431" i="11" s="1"/>
  <c r="F433" i="11" s="1"/>
  <c r="F435" i="11" s="1"/>
  <c r="F437" i="11" s="1"/>
  <c r="F439" i="11" s="1"/>
  <c r="F441" i="11" s="1"/>
  <c r="F443" i="11" s="1"/>
  <c r="F445" i="11" s="1"/>
  <c r="F447" i="11" s="1"/>
  <c r="F449" i="11" s="1"/>
  <c r="F451" i="11" s="1"/>
  <c r="F453" i="11" s="1"/>
  <c r="F455" i="11" s="1"/>
  <c r="F457" i="11" s="1"/>
  <c r="F459" i="11" s="1"/>
  <c r="F461" i="11" s="1"/>
  <c r="F463" i="11" s="1"/>
  <c r="F465" i="11" s="1"/>
  <c r="F467" i="11" s="1"/>
  <c r="F469" i="11" s="1"/>
  <c r="F471" i="11" s="1"/>
  <c r="F473" i="11" s="1"/>
  <c r="F475" i="11" s="1"/>
  <c r="F477" i="11" s="1"/>
  <c r="F479" i="11" s="1"/>
  <c r="F481" i="11" s="1"/>
  <c r="F483" i="11" s="1"/>
  <c r="F485" i="11" s="1"/>
  <c r="F487" i="11" s="1"/>
  <c r="F489" i="11" s="1"/>
  <c r="F491" i="11" s="1"/>
  <c r="F493" i="11" s="1"/>
  <c r="F495" i="11" s="1"/>
  <c r="F497" i="11" s="1"/>
  <c r="F499" i="11" s="1"/>
  <c r="F501" i="11" s="1"/>
  <c r="F503" i="11" s="1"/>
  <c r="F505" i="11" s="1"/>
  <c r="F507" i="11" s="1"/>
  <c r="F509" i="11" s="1"/>
  <c r="F511" i="11" s="1"/>
  <c r="F513" i="11" s="1"/>
  <c r="F515" i="11" s="1"/>
  <c r="F517" i="11" s="1"/>
  <c r="F519" i="11" s="1"/>
  <c r="F521" i="11" s="1"/>
  <c r="F523" i="11" s="1"/>
  <c r="F525" i="11" s="1"/>
  <c r="F527" i="11" s="1"/>
  <c r="F529" i="11" s="1"/>
  <c r="F531" i="11" s="1"/>
  <c r="F533" i="11" s="1"/>
  <c r="F535" i="11" s="1"/>
  <c r="F537" i="11" s="1"/>
  <c r="F539" i="11" s="1"/>
  <c r="F541" i="11" s="1"/>
  <c r="F543" i="11" s="1"/>
  <c r="F545" i="11" s="1"/>
  <c r="F547" i="11" s="1"/>
  <c r="F549" i="11" s="1"/>
  <c r="B68" i="13" l="1"/>
  <c r="J634" i="7" l="1"/>
  <c r="G634" i="7"/>
  <c r="J567" i="7" l="1"/>
  <c r="J568" i="7"/>
  <c r="J569" i="7"/>
  <c r="J570" i="7"/>
  <c r="J571" i="7"/>
  <c r="J572" i="7"/>
  <c r="J573" i="7"/>
  <c r="J574" i="7"/>
  <c r="J575" i="7"/>
  <c r="J576" i="7"/>
  <c r="J577" i="7"/>
  <c r="J578" i="7"/>
  <c r="J579" i="7"/>
  <c r="J580" i="7"/>
  <c r="J581" i="7"/>
  <c r="J582" i="7"/>
  <c r="J583" i="7"/>
  <c r="J584" i="7"/>
  <c r="J585" i="7"/>
  <c r="J586" i="7"/>
  <c r="J587" i="7"/>
  <c r="J588" i="7"/>
  <c r="J589" i="7"/>
  <c r="J590" i="7"/>
  <c r="J591" i="7"/>
  <c r="J592" i="7"/>
  <c r="J593" i="7"/>
  <c r="J594" i="7"/>
  <c r="J595" i="7"/>
  <c r="J596" i="7"/>
  <c r="J597" i="7"/>
  <c r="J598" i="7"/>
  <c r="J599" i="7"/>
  <c r="J600" i="7"/>
  <c r="J601" i="7"/>
  <c r="J602" i="7"/>
  <c r="J603" i="7"/>
  <c r="J604" i="7"/>
  <c r="J605" i="7"/>
  <c r="J606" i="7"/>
  <c r="J607" i="7"/>
  <c r="J608" i="7"/>
  <c r="J609" i="7"/>
  <c r="J610" i="7"/>
  <c r="J611" i="7"/>
  <c r="J612" i="7"/>
  <c r="J613" i="7"/>
  <c r="J614" i="7"/>
  <c r="J615" i="7"/>
  <c r="J616" i="7"/>
  <c r="J627" i="7"/>
  <c r="J628" i="7"/>
  <c r="J629" i="7"/>
  <c r="J630" i="7"/>
  <c r="J566" i="7"/>
  <c r="J766" i="7"/>
  <c r="J763" i="7"/>
  <c r="J762" i="7"/>
  <c r="J761" i="7"/>
  <c r="J760" i="7"/>
  <c r="J759" i="7"/>
  <c r="J758" i="7"/>
  <c r="J757" i="7"/>
  <c r="J755" i="7"/>
  <c r="J754" i="7"/>
  <c r="J752" i="7"/>
  <c r="J751" i="7"/>
  <c r="J750" i="7"/>
  <c r="J749" i="7"/>
  <c r="J748" i="7"/>
  <c r="J747" i="7"/>
  <c r="J746" i="7"/>
  <c r="J745" i="7"/>
  <c r="J744" i="7"/>
  <c r="J743" i="7"/>
  <c r="J742" i="7"/>
  <c r="J741" i="7"/>
  <c r="J740" i="7"/>
  <c r="J739" i="7"/>
  <c r="J738" i="7"/>
  <c r="J737" i="7"/>
  <c r="J736" i="7"/>
  <c r="J735" i="7"/>
  <c r="J734" i="7"/>
  <c r="J733" i="7"/>
  <c r="J732" i="7"/>
  <c r="J731" i="7"/>
  <c r="J730" i="7"/>
  <c r="J729" i="7"/>
  <c r="J728" i="7"/>
  <c r="J727" i="7"/>
  <c r="J726" i="7"/>
  <c r="J725" i="7"/>
  <c r="J724" i="7"/>
  <c r="J723" i="7"/>
  <c r="J722" i="7"/>
  <c r="J721" i="7"/>
  <c r="J720" i="7"/>
  <c r="J719" i="7"/>
  <c r="J718" i="7"/>
  <c r="J717" i="7"/>
  <c r="J716" i="7"/>
  <c r="J715" i="7"/>
  <c r="J714" i="7"/>
  <c r="J713" i="7"/>
  <c r="J712" i="7"/>
  <c r="J711" i="7"/>
  <c r="J710" i="7"/>
  <c r="J709" i="7"/>
  <c r="J708" i="7"/>
  <c r="J707" i="7"/>
  <c r="J706" i="7"/>
  <c r="J705" i="7"/>
  <c r="J704" i="7"/>
  <c r="J703" i="7"/>
  <c r="J702" i="7"/>
  <c r="J701" i="7"/>
  <c r="J700" i="7"/>
  <c r="J699" i="7"/>
  <c r="J698" i="7"/>
  <c r="J697" i="7"/>
  <c r="J696" i="7"/>
  <c r="J695" i="7"/>
  <c r="J694" i="7"/>
  <c r="J693" i="7"/>
  <c r="J692" i="7"/>
  <c r="J691" i="7"/>
  <c r="J690" i="7"/>
  <c r="J689" i="7"/>
  <c r="J688" i="7"/>
  <c r="J687" i="7"/>
  <c r="J686" i="7"/>
  <c r="J685" i="7"/>
  <c r="J684" i="7"/>
  <c r="J683" i="7"/>
  <c r="J682" i="7"/>
  <c r="J681" i="7"/>
  <c r="J680" i="7"/>
  <c r="J679" i="7"/>
  <c r="J674" i="7"/>
  <c r="J668" i="7"/>
  <c r="J667" i="7"/>
  <c r="J666" i="7"/>
  <c r="J665" i="7"/>
  <c r="J664" i="7"/>
  <c r="J663" i="7"/>
  <c r="J662" i="7"/>
  <c r="J661" i="7"/>
  <c r="J660" i="7"/>
  <c r="J659" i="7"/>
  <c r="J658" i="7"/>
  <c r="J657" i="7"/>
  <c r="J656" i="7"/>
  <c r="J655" i="7"/>
  <c r="J654" i="7"/>
  <c r="J653" i="7"/>
  <c r="J652" i="7"/>
  <c r="J651" i="7"/>
  <c r="J650" i="7"/>
  <c r="J649" i="7"/>
  <c r="J648" i="7"/>
  <c r="J647" i="7"/>
  <c r="J646" i="7"/>
  <c r="J643" i="7"/>
  <c r="J644" i="7"/>
  <c r="J645" i="7"/>
  <c r="F633" i="11" l="1"/>
  <c r="F618" i="11"/>
  <c r="F616" i="11"/>
  <c r="F613" i="11"/>
  <c r="F619" i="11"/>
  <c r="F617" i="11"/>
  <c r="F614" i="11"/>
  <c r="F612" i="11"/>
  <c r="F620" i="11"/>
  <c r="F632" i="11"/>
  <c r="F631" i="11" l="1"/>
  <c r="F630" i="11"/>
  <c r="F629" i="11"/>
  <c r="F627" i="11"/>
  <c r="F610" i="11"/>
  <c r="F609" i="11"/>
  <c r="F608" i="11"/>
  <c r="F607" i="11"/>
  <c r="F606" i="11"/>
  <c r="F604" i="11"/>
  <c r="F603" i="11"/>
  <c r="F601" i="11"/>
  <c r="F600" i="11"/>
  <c r="F599" i="11"/>
  <c r="F598" i="11"/>
  <c r="F596" i="11"/>
  <c r="F595" i="11"/>
  <c r="F593" i="11"/>
  <c r="F591" i="11"/>
  <c r="F590" i="11"/>
  <c r="F589" i="11"/>
  <c r="F585" i="11"/>
  <c r="F584" i="11"/>
  <c r="F581" i="11"/>
  <c r="F580" i="11"/>
  <c r="F579" i="11"/>
  <c r="F578" i="11"/>
  <c r="F575" i="11"/>
  <c r="F574" i="11"/>
  <c r="F573" i="11"/>
  <c r="F572" i="11"/>
  <c r="F571" i="11"/>
  <c r="F570" i="11"/>
  <c r="F569" i="11"/>
  <c r="F567" i="11"/>
  <c r="F558" i="11"/>
  <c r="F557" i="11"/>
  <c r="F559" i="11" l="1"/>
  <c r="D777" i="11" s="1"/>
  <c r="F702" i="11"/>
  <c r="F568" i="11"/>
  <c r="F577" i="11" l="1"/>
  <c r="F594" i="11"/>
  <c r="F635" i="11"/>
  <c r="F583" i="11"/>
  <c r="F587" i="11"/>
  <c r="F705" i="11"/>
  <c r="F754" i="11" s="1"/>
  <c r="F757" i="11" s="1"/>
  <c r="F768" i="11" s="1"/>
  <c r="F622" i="11" l="1"/>
  <c r="F625" i="11" s="1"/>
  <c r="F637" i="11" s="1"/>
  <c r="C3" i="10"/>
  <c r="G572" i="7"/>
  <c r="G573" i="7"/>
  <c r="G574" i="7"/>
  <c r="G62" i="9" s="1"/>
  <c r="G571" i="7"/>
  <c r="G626" i="7"/>
  <c r="G576" i="7"/>
  <c r="G577" i="7"/>
  <c r="G578" i="7"/>
  <c r="G579" i="7"/>
  <c r="G580" i="7"/>
  <c r="G582" i="7"/>
  <c r="G583" i="7"/>
  <c r="G584" i="7"/>
  <c r="G586" i="7"/>
  <c r="G588" i="7"/>
  <c r="G589" i="7"/>
  <c r="G602" i="7"/>
  <c r="G603" i="7"/>
  <c r="G592" i="7"/>
  <c r="G593" i="7"/>
  <c r="G594" i="7"/>
  <c r="G595" i="7"/>
  <c r="G597" i="7"/>
  <c r="G598" i="7"/>
  <c r="G599" i="7"/>
  <c r="G600" i="7"/>
  <c r="G590" i="7"/>
  <c r="G605" i="7"/>
  <c r="G606" i="7"/>
  <c r="G607" i="7"/>
  <c r="G608" i="7"/>
  <c r="G609" i="7"/>
  <c r="G628" i="7"/>
  <c r="G629" i="7"/>
  <c r="G630" i="7"/>
  <c r="E554" i="7"/>
  <c r="C554" i="11" s="1"/>
  <c r="C555" i="11" s="1"/>
  <c r="E555" i="11" s="1"/>
  <c r="D553" i="7"/>
  <c r="P9" i="13" s="1"/>
  <c r="D552" i="7"/>
  <c r="P3" i="12" s="1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4" i="10"/>
  <c r="C5" i="10"/>
  <c r="C6" i="10"/>
  <c r="C7" i="10"/>
  <c r="C8" i="10"/>
  <c r="C9" i="10"/>
  <c r="C10" i="10"/>
  <c r="C11" i="10"/>
  <c r="C12" i="10"/>
  <c r="G556" i="7"/>
  <c r="G557" i="7"/>
  <c r="E561" i="7"/>
  <c r="G620" i="11" l="1"/>
  <c r="G633" i="11"/>
  <c r="E33" i="9"/>
  <c r="G617" i="11"/>
  <c r="G613" i="11"/>
  <c r="G616" i="11"/>
  <c r="G619" i="11"/>
  <c r="G615" i="11"/>
  <c r="G611" i="11"/>
  <c r="G618" i="11"/>
  <c r="G614" i="11"/>
  <c r="G612" i="11"/>
  <c r="G635" i="11"/>
  <c r="G632" i="11"/>
  <c r="G569" i="11"/>
  <c r="G578" i="11"/>
  <c r="G580" i="11"/>
  <c r="G630" i="11"/>
  <c r="G603" i="11"/>
  <c r="G609" i="11"/>
  <c r="G631" i="11"/>
  <c r="G571" i="11"/>
  <c r="G585" i="11"/>
  <c r="G587" i="11"/>
  <c r="G567" i="11"/>
  <c r="G591" i="11"/>
  <c r="G577" i="11"/>
  <c r="G593" i="11"/>
  <c r="G590" i="11"/>
  <c r="G589" i="11"/>
  <c r="G573" i="11"/>
  <c r="G596" i="11"/>
  <c r="G574" i="11"/>
  <c r="G607" i="11"/>
  <c r="G598" i="11"/>
  <c r="G627" i="11"/>
  <c r="G594" i="11"/>
  <c r="G629" i="11"/>
  <c r="G570" i="11"/>
  <c r="G608" i="11"/>
  <c r="G579" i="11"/>
  <c r="G575" i="11"/>
  <c r="G610" i="11"/>
  <c r="G581" i="11"/>
  <c r="G604" i="11"/>
  <c r="G595" i="11"/>
  <c r="G599" i="11"/>
  <c r="G583" i="11"/>
  <c r="G600" i="11"/>
  <c r="G568" i="11"/>
  <c r="G606" i="11"/>
  <c r="G601" i="11"/>
  <c r="G584" i="11"/>
  <c r="G572" i="11"/>
  <c r="E27" i="9"/>
  <c r="E12" i="9"/>
  <c r="E8" i="9"/>
  <c r="E21" i="9"/>
  <c r="E11" i="9"/>
  <c r="E15" i="9"/>
  <c r="E10" i="9"/>
  <c r="E13" i="9"/>
  <c r="E9" i="9"/>
  <c r="K13" i="9"/>
  <c r="D554" i="7"/>
  <c r="F554" i="7" s="1"/>
  <c r="E7" i="9"/>
  <c r="E23" i="9"/>
  <c r="E17" i="9"/>
  <c r="E29" i="9"/>
  <c r="E25" i="9"/>
  <c r="G558" i="7"/>
  <c r="E776" i="7" s="1"/>
  <c r="G66" i="9" s="1"/>
  <c r="E19" i="9"/>
  <c r="K27" i="9"/>
  <c r="G701" i="7"/>
  <c r="G612" i="7"/>
  <c r="K19" i="9"/>
  <c r="K23" i="9"/>
  <c r="K21" i="9"/>
  <c r="K15" i="9"/>
  <c r="K7" i="9"/>
  <c r="K37" i="9" l="1"/>
  <c r="D44" i="9" s="1"/>
  <c r="E37" i="9"/>
  <c r="D42" i="9" s="1"/>
  <c r="G637" i="11"/>
  <c r="G615" i="7"/>
  <c r="G636" i="7" s="1"/>
  <c r="G704" i="7"/>
  <c r="G765" i="11"/>
  <c r="G675" i="11" l="1"/>
  <c r="G677" i="11"/>
  <c r="G678" i="11"/>
  <c r="G672" i="11"/>
  <c r="G673" i="11"/>
  <c r="I633" i="7"/>
  <c r="I620" i="7"/>
  <c r="I624" i="7"/>
  <c r="I617" i="7"/>
  <c r="I621" i="7"/>
  <c r="I631" i="7"/>
  <c r="I618" i="7"/>
  <c r="I622" i="7"/>
  <c r="I619" i="7"/>
  <c r="I623" i="7"/>
  <c r="I632" i="7"/>
  <c r="I634" i="7"/>
  <c r="G753" i="7"/>
  <c r="G688" i="11"/>
  <c r="G750" i="11"/>
  <c r="G657" i="11"/>
  <c r="G685" i="11"/>
  <c r="G707" i="11"/>
  <c r="G727" i="11"/>
  <c r="G746" i="11"/>
  <c r="G660" i="11"/>
  <c r="G731" i="11"/>
  <c r="G658" i="11"/>
  <c r="G686" i="11"/>
  <c r="G708" i="11"/>
  <c r="G728" i="11"/>
  <c r="G748" i="11"/>
  <c r="G670" i="11"/>
  <c r="G740" i="11"/>
  <c r="G664" i="11"/>
  <c r="G692" i="11"/>
  <c r="G715" i="11"/>
  <c r="G735" i="11"/>
  <c r="G759" i="11"/>
  <c r="G706" i="11"/>
  <c r="G760" i="11"/>
  <c r="G662" i="11"/>
  <c r="G689" i="11"/>
  <c r="G712" i="11"/>
  <c r="G732" i="11"/>
  <c r="G752" i="11"/>
  <c r="G683" i="11"/>
  <c r="G745" i="11"/>
  <c r="G663" i="11"/>
  <c r="G691" i="11"/>
  <c r="G714" i="11"/>
  <c r="G733" i="11"/>
  <c r="G753" i="11"/>
  <c r="G693" i="11"/>
  <c r="G649" i="11"/>
  <c r="G669" i="11"/>
  <c r="G697" i="11"/>
  <c r="G720" i="11"/>
  <c r="G739" i="11"/>
  <c r="G764" i="11"/>
  <c r="G650" i="11"/>
  <c r="G721" i="11"/>
  <c r="G647" i="11"/>
  <c r="G667" i="11"/>
  <c r="G694" i="11"/>
  <c r="G717" i="11"/>
  <c r="G737" i="11"/>
  <c r="G762" i="11"/>
  <c r="G698" i="11"/>
  <c r="G648" i="11"/>
  <c r="G668" i="11"/>
  <c r="G695" i="11"/>
  <c r="G719" i="11"/>
  <c r="G738" i="11"/>
  <c r="G763" i="11"/>
  <c r="G711" i="11"/>
  <c r="G653" i="11"/>
  <c r="G682" i="11"/>
  <c r="G701" i="11"/>
  <c r="G725" i="11"/>
  <c r="G743" i="11"/>
  <c r="G666" i="11"/>
  <c r="G736" i="11"/>
  <c r="G651" i="11"/>
  <c r="G680" i="11"/>
  <c r="G699" i="11"/>
  <c r="G722" i="11"/>
  <c r="G741" i="11"/>
  <c r="G645" i="11"/>
  <c r="G716" i="11"/>
  <c r="G652" i="11"/>
  <c r="G681" i="11"/>
  <c r="G700" i="11"/>
  <c r="G724" i="11"/>
  <c r="G742" i="11"/>
  <c r="G655" i="11"/>
  <c r="G726" i="11"/>
  <c r="G659" i="11"/>
  <c r="G687" i="11"/>
  <c r="G710" i="11"/>
  <c r="G730" i="11"/>
  <c r="G749" i="11"/>
  <c r="D774" i="11"/>
  <c r="D775" i="11"/>
  <c r="D781" i="11" s="1"/>
  <c r="G644" i="11"/>
  <c r="D46" i="9"/>
  <c r="G52" i="9" s="1"/>
  <c r="D47" i="9"/>
  <c r="G53" i="9" s="1"/>
  <c r="G768" i="11" l="1"/>
  <c r="I596" i="7"/>
  <c r="I585" i="7"/>
  <c r="I581" i="7"/>
  <c r="I610" i="7"/>
  <c r="I575" i="7"/>
  <c r="I587" i="7"/>
  <c r="I591" i="7"/>
  <c r="I627" i="7"/>
  <c r="I604" i="7"/>
  <c r="I601" i="7"/>
  <c r="I625" i="7"/>
  <c r="I630" i="7"/>
  <c r="I628" i="7"/>
  <c r="I597" i="7"/>
  <c r="I577" i="7"/>
  <c r="I566" i="7"/>
  <c r="I603" i="7"/>
  <c r="I576" i="7"/>
  <c r="I616" i="7"/>
  <c r="I599" i="7"/>
  <c r="I579" i="7"/>
  <c r="I568" i="7"/>
  <c r="I598" i="7"/>
  <c r="I578" i="7"/>
  <c r="I567" i="7"/>
  <c r="I608" i="7"/>
  <c r="I592" i="7"/>
  <c r="I607" i="7"/>
  <c r="I593" i="7"/>
  <c r="I588" i="7"/>
  <c r="I570" i="7"/>
  <c r="I600" i="7"/>
  <c r="I586" i="7"/>
  <c r="I569" i="7"/>
  <c r="I611" i="7"/>
  <c r="I602" i="7"/>
  <c r="I626" i="7"/>
  <c r="I629" i="7"/>
  <c r="I589" i="7"/>
  <c r="I571" i="7"/>
  <c r="I609" i="7"/>
  <c r="I590" i="7"/>
  <c r="I582" i="7"/>
  <c r="I595" i="7"/>
  <c r="I580" i="7"/>
  <c r="I574" i="7"/>
  <c r="I606" i="7"/>
  <c r="I584" i="7"/>
  <c r="I605" i="7"/>
  <c r="I583" i="7"/>
  <c r="I594" i="7"/>
  <c r="I573" i="7"/>
  <c r="I572" i="7"/>
  <c r="G756" i="7"/>
  <c r="G767" i="7" s="1"/>
  <c r="G64" i="9"/>
  <c r="E773" i="7" l="1"/>
  <c r="I692" i="7"/>
  <c r="I765" i="7"/>
  <c r="I764" i="7"/>
  <c r="I678" i="7"/>
  <c r="I676" i="7"/>
  <c r="I677" i="7"/>
  <c r="I670" i="7"/>
  <c r="I673" i="7"/>
  <c r="I672" i="7"/>
  <c r="I671" i="7"/>
  <c r="I669" i="7"/>
  <c r="I645" i="7"/>
  <c r="I653" i="7"/>
  <c r="I689" i="7"/>
  <c r="I717" i="7"/>
  <c r="I733" i="7"/>
  <c r="I757" i="7"/>
  <c r="I675" i="7"/>
  <c r="I722" i="7"/>
  <c r="I746" i="7"/>
  <c r="I760" i="7"/>
  <c r="I750" i="7"/>
  <c r="I655" i="7"/>
  <c r="I683" i="7"/>
  <c r="I695" i="7"/>
  <c r="I743" i="7"/>
  <c r="I660" i="7"/>
  <c r="I664" i="7"/>
  <c r="I708" i="7"/>
  <c r="I712" i="7"/>
  <c r="I728" i="7"/>
  <c r="I766" i="7"/>
  <c r="I741" i="7"/>
  <c r="I711" i="7"/>
  <c r="I681" i="7"/>
  <c r="I647" i="7"/>
  <c r="I762" i="7"/>
  <c r="I697" i="7"/>
  <c r="I744" i="7"/>
  <c r="I699" i="7"/>
  <c r="I667" i="7"/>
  <c r="I763" i="7"/>
  <c r="I761" i="7"/>
  <c r="I696" i="7"/>
  <c r="I727" i="7"/>
  <c r="I698" i="7"/>
  <c r="I666" i="7"/>
  <c r="I716" i="7"/>
  <c r="I729" i="7"/>
  <c r="I738" i="7"/>
  <c r="I694" i="7"/>
  <c r="I685" i="7"/>
  <c r="I652" i="7"/>
  <c r="I679" i="7"/>
  <c r="I665" i="7"/>
  <c r="I745" i="7"/>
  <c r="I700" i="7"/>
  <c r="I668" i="7"/>
  <c r="I721" i="7"/>
  <c r="I732" i="7"/>
  <c r="I740" i="7"/>
  <c r="I724" i="7"/>
  <c r="I687" i="7"/>
  <c r="I662" i="7"/>
  <c r="I730" i="7"/>
  <c r="I731" i="7"/>
  <c r="I739" i="7"/>
  <c r="I723" i="7"/>
  <c r="I686" i="7"/>
  <c r="I661" i="7"/>
  <c r="I752" i="7"/>
  <c r="I718" i="7"/>
  <c r="I734" i="7"/>
  <c r="I654" i="7"/>
  <c r="I682" i="7"/>
  <c r="I648" i="7"/>
  <c r="I646" i="7"/>
  <c r="I726" i="7"/>
  <c r="I725" i="7"/>
  <c r="I688" i="7"/>
  <c r="I663" i="7"/>
  <c r="I737" i="7"/>
  <c r="I720" i="7"/>
  <c r="I736" i="7"/>
  <c r="I705" i="7"/>
  <c r="I650" i="7"/>
  <c r="I707" i="7"/>
  <c r="I719" i="7"/>
  <c r="I735" i="7"/>
  <c r="I690" i="7"/>
  <c r="I751" i="7"/>
  <c r="I649" i="7"/>
  <c r="I656" i="7"/>
  <c r="I713" i="7"/>
  <c r="I747" i="7"/>
  <c r="I706" i="7"/>
  <c r="I674" i="7"/>
  <c r="I758" i="7"/>
  <c r="I693" i="7"/>
  <c r="I684" i="7"/>
  <c r="I651" i="7"/>
  <c r="I658" i="7"/>
  <c r="I715" i="7"/>
  <c r="I749" i="7"/>
  <c r="I710" i="7"/>
  <c r="I680" i="7"/>
  <c r="I657" i="7"/>
  <c r="I714" i="7"/>
  <c r="I748" i="7"/>
  <c r="I709" i="7"/>
  <c r="I659" i="7"/>
  <c r="I759" i="7"/>
  <c r="I742" i="7"/>
  <c r="I691" i="7"/>
  <c r="I643" i="7"/>
  <c r="I644" i="7"/>
  <c r="E774" i="7"/>
  <c r="G12" i="7" l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32" i="7" s="1"/>
  <c r="G33" i="7" s="1"/>
  <c r="G34" i="7" s="1"/>
  <c r="G35" i="7" s="1"/>
  <c r="G36" i="7" s="1"/>
  <c r="G37" i="7" s="1"/>
  <c r="G38" i="7" s="1"/>
  <c r="G39" i="7" s="1"/>
  <c r="G40" i="7" s="1"/>
  <c r="G41" i="7" s="1"/>
  <c r="G42" i="7" s="1"/>
  <c r="G43" i="7" s="1"/>
  <c r="G44" i="7" s="1"/>
  <c r="G45" i="7" s="1"/>
  <c r="G46" i="7" s="1"/>
  <c r="G47" i="7" s="1"/>
  <c r="G48" i="7" s="1"/>
  <c r="G49" i="7" s="1"/>
  <c r="G50" i="7" s="1"/>
  <c r="G51" i="7" s="1"/>
  <c r="G52" i="7" s="1"/>
  <c r="G53" i="7" s="1"/>
  <c r="G54" i="7" s="1"/>
  <c r="G55" i="7" s="1"/>
  <c r="G56" i="7" s="1"/>
  <c r="G57" i="7" s="1"/>
  <c r="G58" i="7" s="1"/>
  <c r="G59" i="7" s="1"/>
  <c r="G60" i="7" s="1"/>
  <c r="G61" i="7" s="1"/>
  <c r="G62" i="7" s="1"/>
  <c r="G63" i="7" s="1"/>
  <c r="G64" i="7" s="1"/>
  <c r="G65" i="7" s="1"/>
  <c r="G66" i="7" s="1"/>
  <c r="G67" i="7" s="1"/>
  <c r="G68" i="7" s="1"/>
  <c r="G69" i="7" s="1"/>
  <c r="G70" i="7" s="1"/>
  <c r="G71" i="7" s="1"/>
  <c r="G72" i="7" s="1"/>
  <c r="G73" i="7" s="1"/>
  <c r="G74" i="7" s="1"/>
  <c r="G75" i="7" s="1"/>
  <c r="G76" i="7" s="1"/>
  <c r="G77" i="7" s="1"/>
  <c r="G78" i="7" s="1"/>
  <c r="G79" i="7" s="1"/>
  <c r="G80" i="7" s="1"/>
  <c r="G81" i="7" s="1"/>
  <c r="G82" i="7" s="1"/>
  <c r="G83" i="7" s="1"/>
  <c r="G84" i="7" s="1"/>
  <c r="G85" i="7" s="1"/>
  <c r="G86" i="7" s="1"/>
  <c r="G87" i="7" s="1"/>
  <c r="G88" i="7" s="1"/>
  <c r="G89" i="7" s="1"/>
  <c r="G90" i="7" s="1"/>
  <c r="G91" i="7" s="1"/>
  <c r="G92" i="7" s="1"/>
  <c r="G93" i="7" s="1"/>
  <c r="G94" i="7" s="1"/>
  <c r="G95" i="7" s="1"/>
  <c r="G96" i="7" s="1"/>
  <c r="G97" i="7" s="1"/>
  <c r="G98" i="7" s="1"/>
  <c r="G99" i="7" s="1"/>
  <c r="G100" i="7" s="1"/>
  <c r="G101" i="7" s="1"/>
  <c r="G102" i="7" s="1"/>
  <c r="G103" i="7" s="1"/>
  <c r="G104" i="7" s="1"/>
  <c r="G105" i="7" s="1"/>
  <c r="G106" i="7" s="1"/>
  <c r="G107" i="7" s="1"/>
  <c r="G108" i="7" s="1"/>
  <c r="G109" i="7" s="1"/>
  <c r="G110" i="7" s="1"/>
  <c r="G111" i="7" s="1"/>
  <c r="G112" i="7" s="1"/>
  <c r="G113" i="7" s="1"/>
  <c r="G114" i="7" s="1"/>
  <c r="G115" i="7" s="1"/>
  <c r="G116" i="7" s="1"/>
  <c r="G117" i="7" s="1"/>
  <c r="G118" i="7" s="1"/>
  <c r="G119" i="7" s="1"/>
  <c r="G120" i="7" s="1"/>
  <c r="G121" i="7" s="1"/>
  <c r="G122" i="7" s="1"/>
  <c r="G123" i="7" s="1"/>
  <c r="G124" i="7" s="1"/>
  <c r="G125" i="7" s="1"/>
  <c r="G126" i="7" s="1"/>
  <c r="G127" i="7" s="1"/>
  <c r="G128" i="7" s="1"/>
  <c r="G129" i="7" s="1"/>
  <c r="G130" i="7" s="1"/>
  <c r="G131" i="7" s="1"/>
  <c r="G132" i="7" s="1"/>
  <c r="G133" i="7" s="1"/>
  <c r="G134" i="7" s="1"/>
  <c r="G135" i="7" s="1"/>
  <c r="G136" i="7" s="1"/>
  <c r="G137" i="7" l="1"/>
  <c r="G138" i="7" s="1"/>
  <c r="G139" i="7" s="1"/>
  <c r="G140" i="7" s="1"/>
  <c r="G141" i="7" s="1"/>
  <c r="G142" i="7" s="1"/>
  <c r="G143" i="7" s="1"/>
  <c r="G144" i="7" s="1"/>
  <c r="G145" i="7" s="1"/>
  <c r="G146" i="7" s="1"/>
  <c r="G147" i="7" s="1"/>
  <c r="G148" i="7" s="1"/>
  <c r="G149" i="7" s="1"/>
  <c r="G150" i="7" s="1"/>
  <c r="G151" i="7" s="1"/>
  <c r="G152" i="7" s="1"/>
  <c r="G153" i="7" s="1"/>
  <c r="G154" i="7" s="1"/>
  <c r="G155" i="7" s="1"/>
  <c r="G156" i="7" s="1"/>
  <c r="G157" i="7" s="1"/>
  <c r="G158" i="7" s="1"/>
  <c r="G159" i="7" s="1"/>
  <c r="G160" i="7" s="1"/>
  <c r="G161" i="7" s="1"/>
  <c r="G162" i="7" s="1"/>
  <c r="G163" i="7" s="1"/>
  <c r="G164" i="7" s="1"/>
  <c r="G165" i="7" s="1"/>
  <c r="G166" i="7" s="1"/>
  <c r="G167" i="7" s="1"/>
  <c r="G168" i="7" s="1"/>
  <c r="G169" i="7" s="1"/>
  <c r="G170" i="7" s="1"/>
  <c r="G171" i="7" s="1"/>
  <c r="G172" i="7" s="1"/>
  <c r="G173" i="7" s="1"/>
  <c r="G174" i="7" s="1"/>
  <c r="G175" i="7" s="1"/>
  <c r="G176" i="7" s="1"/>
  <c r="G177" i="7" s="1"/>
  <c r="G178" i="7" s="1"/>
  <c r="G179" i="7" s="1"/>
  <c r="G180" i="7" s="1"/>
  <c r="G181" i="7" s="1"/>
  <c r="G182" i="7" s="1"/>
  <c r="G183" i="7" s="1"/>
  <c r="G184" i="7" s="1"/>
  <c r="G185" i="7" s="1"/>
  <c r="G186" i="7" s="1"/>
  <c r="G187" i="7" s="1"/>
  <c r="G188" i="7" s="1"/>
  <c r="G189" i="7" s="1"/>
  <c r="G190" i="7" s="1"/>
  <c r="G191" i="7" s="1"/>
  <c r="G192" i="7" s="1"/>
  <c r="G193" i="7" s="1"/>
  <c r="G194" i="7" s="1"/>
  <c r="G195" i="7" s="1"/>
  <c r="G196" i="7" s="1"/>
  <c r="G197" i="7" s="1"/>
  <c r="G198" i="7" s="1"/>
  <c r="G199" i="7" s="1"/>
  <c r="G200" i="7" s="1"/>
  <c r="G201" i="7" s="1"/>
  <c r="G202" i="7" s="1"/>
  <c r="G203" i="7" s="1"/>
  <c r="G204" i="7" s="1"/>
  <c r="G205" i="7" s="1"/>
  <c r="G206" i="7" s="1"/>
  <c r="G207" i="7" s="1"/>
  <c r="G208" i="7" l="1"/>
  <c r="G209" i="7" s="1"/>
  <c r="G210" i="7" s="1"/>
  <c r="G211" i="7" s="1"/>
  <c r="G212" i="7" s="1"/>
  <c r="G213" i="7" s="1"/>
  <c r="G214" i="7" s="1"/>
  <c r="G215" i="7" s="1"/>
  <c r="G216" i="7" s="1"/>
  <c r="G217" i="7" s="1"/>
  <c r="G218" i="7" s="1"/>
  <c r="G219" i="7" s="1"/>
  <c r="G220" i="7" s="1"/>
  <c r="G221" i="7" s="1"/>
  <c r="G222" i="7" s="1"/>
  <c r="G223" i="7" s="1"/>
  <c r="G224" i="7" s="1"/>
  <c r="G225" i="7" s="1"/>
  <c r="G226" i="7" s="1"/>
  <c r="G227" i="7" s="1"/>
  <c r="G228" i="7" s="1"/>
  <c r="G229" i="7" s="1"/>
  <c r="G230" i="7" s="1"/>
  <c r="G231" i="7" s="1"/>
  <c r="G232" i="7" s="1"/>
  <c r="G233" i="7" s="1"/>
  <c r="G234" i="7" s="1"/>
  <c r="G235" i="7" s="1"/>
  <c r="G236" i="7" s="1"/>
  <c r="G237" i="7" s="1"/>
  <c r="G238" i="7" s="1"/>
  <c r="G239" i="7" s="1"/>
  <c r="G240" i="7" s="1"/>
  <c r="G241" i="7" s="1"/>
  <c r="G242" i="7" s="1"/>
  <c r="G243" i="7" s="1"/>
  <c r="G244" i="7" s="1"/>
  <c r="G245" i="7" s="1"/>
  <c r="G246" i="7" s="1"/>
  <c r="G247" i="7" s="1"/>
  <c r="G248" i="7" s="1"/>
  <c r="G249" i="7" s="1"/>
  <c r="G250" i="7" s="1"/>
  <c r="G251" i="7" s="1"/>
  <c r="G252" i="7" s="1"/>
  <c r="G253" i="7" s="1"/>
  <c r="G254" i="7" s="1"/>
  <c r="G255" i="7" s="1"/>
  <c r="G256" i="7" s="1"/>
  <c r="G257" i="7" s="1"/>
  <c r="G258" i="7" s="1"/>
  <c r="G259" i="7" s="1"/>
  <c r="G260" i="7" s="1"/>
  <c r="G261" i="7" s="1"/>
  <c r="G262" i="7" s="1"/>
  <c r="G263" i="7" s="1"/>
  <c r="G264" i="7" s="1"/>
  <c r="G265" i="7" s="1"/>
  <c r="G266" i="7" s="1"/>
  <c r="G267" i="7" s="1"/>
  <c r="G268" i="7" s="1"/>
  <c r="G269" i="7" s="1"/>
  <c r="G270" i="7" s="1"/>
  <c r="G271" i="7" s="1"/>
  <c r="G272" i="7" s="1"/>
  <c r="G273" i="7" s="1"/>
  <c r="G274" i="7" s="1"/>
  <c r="G275" i="7" s="1"/>
  <c r="G276" i="7" s="1"/>
  <c r="G277" i="7" s="1"/>
  <c r="G278" i="7" s="1"/>
  <c r="G279" i="7" s="1"/>
  <c r="G280" i="7" s="1"/>
  <c r="G281" i="7" s="1"/>
  <c r="G282" i="7" s="1"/>
  <c r="G283" i="7" s="1"/>
  <c r="G284" i="7" s="1"/>
  <c r="G285" i="7" s="1"/>
  <c r="G286" i="7" s="1"/>
  <c r="G287" i="7" s="1"/>
  <c r="G288" i="7" s="1"/>
  <c r="G289" i="7" s="1"/>
  <c r="G290" i="7" s="1"/>
  <c r="G291" i="7" s="1"/>
  <c r="G292" i="7" s="1"/>
  <c r="G293" i="7" s="1"/>
  <c r="G294" i="7" s="1"/>
  <c r="G295" i="7" s="1"/>
  <c r="G296" i="7" s="1"/>
  <c r="G297" i="7" s="1"/>
  <c r="G298" i="7" s="1"/>
  <c r="G299" i="7" s="1"/>
  <c r="G300" i="7" s="1"/>
  <c r="G301" i="7" s="1"/>
  <c r="G302" i="7" s="1"/>
  <c r="G303" i="7" s="1"/>
  <c r="G304" i="7" s="1"/>
  <c r="G305" i="7" s="1"/>
  <c r="G306" i="7" s="1"/>
  <c r="G307" i="7" s="1"/>
  <c r="G308" i="7" s="1"/>
  <c r="G309" i="7" s="1"/>
  <c r="G310" i="7" s="1"/>
  <c r="G311" i="7" s="1"/>
  <c r="G312" i="7" s="1"/>
  <c r="G313" i="7" s="1"/>
  <c r="G314" i="7" s="1"/>
  <c r="G315" i="7" s="1"/>
  <c r="G316" i="7" s="1"/>
  <c r="G317" i="7" s="1"/>
  <c r="G318" i="7" s="1"/>
  <c r="G319" i="7" s="1"/>
  <c r="G320" i="7" s="1"/>
  <c r="G321" i="7" s="1"/>
  <c r="G322" i="7" s="1"/>
  <c r="G323" i="7" s="1"/>
  <c r="G324" i="7" s="1"/>
  <c r="G325" i="7" s="1"/>
  <c r="G326" i="7" s="1"/>
  <c r="G327" i="7" s="1"/>
  <c r="G328" i="7" s="1"/>
  <c r="G329" i="7" s="1"/>
  <c r="G330" i="7" s="1"/>
  <c r="G331" i="7" s="1"/>
  <c r="G332" i="7" s="1"/>
  <c r="G333" i="7" s="1"/>
  <c r="G334" i="7" s="1"/>
  <c r="G335" i="7" s="1"/>
  <c r="G336" i="7" s="1"/>
  <c r="G337" i="7" s="1"/>
  <c r="G338" i="7" s="1"/>
  <c r="G339" i="7" s="1"/>
  <c r="G340" i="7" s="1"/>
  <c r="G341" i="7" s="1"/>
  <c r="G342" i="7" s="1"/>
  <c r="G343" i="7" s="1"/>
  <c r="G344" i="7" s="1"/>
  <c r="G345" i="7" s="1"/>
  <c r="G346" i="7" s="1"/>
  <c r="G347" i="7" s="1"/>
  <c r="G348" i="7" s="1"/>
  <c r="G349" i="7" s="1"/>
  <c r="G350" i="7" s="1"/>
  <c r="G351" i="7" s="1"/>
  <c r="G352" i="7" s="1"/>
  <c r="G353" i="7" s="1"/>
  <c r="G354" i="7" s="1"/>
  <c r="G355" i="7" s="1"/>
  <c r="G356" i="7" s="1"/>
  <c r="G357" i="7" s="1"/>
  <c r="G358" i="7" s="1"/>
  <c r="G359" i="7" s="1"/>
  <c r="G360" i="7" s="1"/>
  <c r="G361" i="7" s="1"/>
  <c r="G362" i="7" s="1"/>
  <c r="G363" i="7" s="1"/>
  <c r="G364" i="7" s="1"/>
  <c r="G365" i="7" s="1"/>
  <c r="G366" i="7" s="1"/>
  <c r="G367" i="7" s="1"/>
  <c r="G368" i="7" s="1"/>
  <c r="G369" i="7" s="1"/>
  <c r="G370" i="7" s="1"/>
  <c r="G371" i="7" s="1"/>
  <c r="G372" i="7" s="1"/>
  <c r="G373" i="7" s="1"/>
  <c r="G374" i="7" s="1"/>
  <c r="G375" i="7" s="1"/>
  <c r="G376" i="7" s="1"/>
  <c r="G377" i="7" s="1"/>
  <c r="G378" i="7" s="1"/>
  <c r="G379" i="7" s="1"/>
  <c r="G380" i="7" s="1"/>
  <c r="G381" i="7" s="1"/>
  <c r="G382" i="7" s="1"/>
  <c r="G383" i="7" s="1"/>
  <c r="G384" i="7" s="1"/>
  <c r="G385" i="7" s="1"/>
  <c r="G386" i="7" s="1"/>
  <c r="G387" i="7" s="1"/>
  <c r="G388" i="7" s="1"/>
  <c r="G389" i="7" s="1"/>
  <c r="G390" i="7" s="1"/>
  <c r="G391" i="7" s="1"/>
  <c r="G392" i="7" s="1"/>
  <c r="G393" i="7" s="1"/>
  <c r="G394" i="7" l="1"/>
  <c r="G395" i="7" s="1"/>
  <c r="G396" i="7" s="1"/>
  <c r="G397" i="7" s="1"/>
  <c r="G398" i="7" s="1"/>
  <c r="G399" i="7" s="1"/>
  <c r="G400" i="7" s="1"/>
  <c r="G401" i="7" s="1"/>
  <c r="G402" i="7" s="1"/>
  <c r="G403" i="7" s="1"/>
  <c r="G404" i="7" s="1"/>
  <c r="G405" i="7" s="1"/>
  <c r="G406" i="7" s="1"/>
  <c r="G407" i="7" s="1"/>
  <c r="G408" i="7" s="1"/>
  <c r="G409" i="7" s="1"/>
  <c r="G410" i="7" s="1"/>
  <c r="G411" i="7" s="1"/>
  <c r="G412" i="7" s="1"/>
  <c r="G413" i="7" s="1"/>
  <c r="G414" i="7" s="1"/>
  <c r="G415" i="7" s="1"/>
  <c r="G416" i="7" s="1"/>
  <c r="G417" i="7" s="1"/>
  <c r="G418" i="7" s="1"/>
  <c r="G419" i="7" s="1"/>
  <c r="G420" i="7" s="1"/>
  <c r="G421" i="7" s="1"/>
  <c r="G422" i="7" s="1"/>
  <c r="G423" i="7" s="1"/>
  <c r="G424" i="7" s="1"/>
  <c r="G425" i="7" s="1"/>
  <c r="G426" i="7" s="1"/>
  <c r="G427" i="7" s="1"/>
  <c r="G428" i="7" s="1"/>
  <c r="G429" i="7" s="1"/>
  <c r="G430" i="7" s="1"/>
  <c r="G431" i="7" s="1"/>
  <c r="G432" i="7" s="1"/>
  <c r="G433" i="7" s="1"/>
  <c r="G434" i="7" s="1"/>
  <c r="G435" i="7" s="1"/>
  <c r="G436" i="7" s="1"/>
  <c r="G437" i="7" s="1"/>
  <c r="G438" i="7" s="1"/>
  <c r="G439" i="7" s="1"/>
  <c r="G440" i="7" s="1"/>
  <c r="G441" i="7" s="1"/>
  <c r="G442" i="7" s="1"/>
  <c r="G443" i="7" s="1"/>
  <c r="G444" i="7" s="1"/>
  <c r="G445" i="7" s="1"/>
  <c r="G446" i="7" s="1"/>
  <c r="G447" i="7" s="1"/>
  <c r="G448" i="7" s="1"/>
  <c r="G449" i="7" l="1"/>
  <c r="G450" i="7" s="1"/>
  <c r="G451" i="7" s="1"/>
  <c r="G452" i="7" s="1"/>
  <c r="G453" i="7" s="1"/>
  <c r="G454" i="7" s="1"/>
  <c r="G455" i="7" s="1"/>
  <c r="G456" i="7" s="1"/>
  <c r="G457" i="7" s="1"/>
  <c r="G458" i="7" s="1"/>
  <c r="G459" i="7" s="1"/>
  <c r="G460" i="7" s="1"/>
  <c r="G461" i="7" s="1"/>
  <c r="G462" i="7" s="1"/>
  <c r="G463" i="7" s="1"/>
  <c r="G464" i="7" s="1"/>
  <c r="G465" i="7" s="1"/>
  <c r="G466" i="7" s="1"/>
  <c r="G467" i="7" s="1"/>
  <c r="G468" i="7" s="1"/>
  <c r="G469" i="7" s="1"/>
  <c r="G470" i="7" s="1"/>
  <c r="G471" i="7" s="1"/>
  <c r="G472" i="7" s="1"/>
  <c r="G473" i="7" s="1"/>
  <c r="G474" i="7" s="1"/>
  <c r="G475" i="7" s="1"/>
  <c r="G476" i="7" s="1"/>
  <c r="G477" i="7" s="1"/>
  <c r="G478" i="7" s="1"/>
  <c r="G479" i="7" s="1"/>
  <c r="G480" i="7" s="1"/>
  <c r="G481" i="7" s="1"/>
  <c r="G482" i="7" s="1"/>
  <c r="G483" i="7" s="1"/>
  <c r="G484" i="7" s="1"/>
  <c r="G485" i="7" s="1"/>
  <c r="G486" i="7" s="1"/>
  <c r="G487" i="7" s="1"/>
  <c r="G488" i="7" s="1"/>
  <c r="G489" i="7" s="1"/>
  <c r="G490" i="7" s="1"/>
  <c r="G491" i="7" s="1"/>
  <c r="G492" i="7" s="1"/>
  <c r="G493" i="7" s="1"/>
  <c r="G494" i="7" s="1"/>
  <c r="G495" i="7" s="1"/>
  <c r="G496" i="7" s="1"/>
  <c r="G497" i="7" s="1"/>
  <c r="G498" i="7" s="1"/>
  <c r="G499" i="7" s="1"/>
  <c r="G500" i="7" s="1"/>
  <c r="G501" i="7" s="1"/>
  <c r="G502" i="7" s="1"/>
  <c r="G503" i="7" s="1"/>
  <c r="G504" i="7" s="1"/>
  <c r="G505" i="7" s="1"/>
  <c r="G506" i="7" s="1"/>
  <c r="G507" i="7" s="1"/>
  <c r="G508" i="7" s="1"/>
  <c r="G509" i="7" s="1"/>
  <c r="G510" i="7" s="1"/>
  <c r="G511" i="7" s="1"/>
  <c r="G512" i="7" s="1"/>
  <c r="G513" i="7" s="1"/>
  <c r="G514" i="7" s="1"/>
  <c r="G515" i="7" s="1"/>
  <c r="G516" i="7" s="1"/>
  <c r="G517" i="7" s="1"/>
  <c r="G518" i="7" s="1"/>
  <c r="G519" i="7" s="1"/>
  <c r="G520" i="7" s="1"/>
  <c r="G521" i="7" s="1"/>
  <c r="G522" i="7" s="1"/>
  <c r="G523" i="7" s="1"/>
  <c r="G524" i="7" s="1"/>
  <c r="G525" i="7" s="1"/>
  <c r="G526" i="7" l="1"/>
  <c r="G527" i="7" s="1"/>
  <c r="G528" i="7" s="1"/>
  <c r="G529" i="7" s="1"/>
  <c r="G530" i="7" s="1"/>
  <c r="G531" i="7" s="1"/>
  <c r="G532" i="7" s="1"/>
  <c r="G533" i="7" s="1"/>
  <c r="G534" i="7" s="1"/>
  <c r="G535" i="7" s="1"/>
  <c r="G536" i="7" s="1"/>
  <c r="G537" i="7" s="1"/>
  <c r="G538" i="7" s="1"/>
  <c r="G539" i="7" s="1"/>
  <c r="G540" i="7" s="1"/>
  <c r="G541" i="7" s="1"/>
  <c r="G542" i="7" s="1"/>
  <c r="G543" i="7" s="1"/>
  <c r="G544" i="7" s="1"/>
  <c r="G545" i="7" s="1"/>
  <c r="G546" i="7" s="1"/>
  <c r="G547" i="7" s="1"/>
  <c r="G548" i="7" s="1"/>
  <c r="G549" i="7" s="1"/>
  <c r="G550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E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>Indiquer ici le résultat bénéficiaire de l'année précédente.(120000)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5" authorId="0" shapeId="0" xr:uid="{00000000-0006-0000-0100-000002000000}">
      <text>
        <r>
          <rPr>
            <sz val="8"/>
            <color indexed="81"/>
            <rFont val="Tahoma"/>
            <family val="2"/>
          </rPr>
          <t>Indiquer ici le résultat déficitaire de la saison
précédente (129000)</t>
        </r>
      </text>
    </comment>
    <comment ref="G56" authorId="0" shapeId="0" xr:uid="{00000000-0006-0000-0100-000003000000}">
      <text>
        <r>
          <rPr>
            <sz val="8"/>
            <color indexed="81"/>
            <rFont val="Tahoma"/>
            <family val="2"/>
          </rPr>
          <t xml:space="preserve">Inscrire dans ces trois cases les dotations aux provisions enregistrées les années précédentes et non encore utilisées
</t>
        </r>
      </text>
    </comment>
    <comment ref="G60" authorId="0" shapeId="0" xr:uid="{00000000-0006-0000-0100-000004000000}">
      <text>
        <r>
          <rPr>
            <sz val="8"/>
            <color indexed="81"/>
            <rFont val="Tahoma"/>
            <family val="2"/>
          </rPr>
          <t xml:space="preserve">Inscrire ici le solde de la subvention de l'année non versé par le C.A.
</t>
        </r>
      </text>
    </comment>
    <comment ref="G62" authorId="0" shapeId="0" xr:uid="{00000000-0006-0000-0100-000005000000}">
      <text>
        <r>
          <rPr>
            <sz val="8"/>
            <color indexed="81"/>
            <rFont val="Tahoma"/>
            <family val="2"/>
          </rPr>
          <t xml:space="preserve">Cette somme est à déduire
</t>
        </r>
      </text>
    </comment>
  </commentList>
</comments>
</file>

<file path=xl/sharedStrings.xml><?xml version="1.0" encoding="utf-8"?>
<sst xmlns="http://schemas.openxmlformats.org/spreadsheetml/2006/main" count="1289" uniqueCount="443">
  <si>
    <t>Total des dépenses</t>
  </si>
  <si>
    <t>Total des recettes</t>
  </si>
  <si>
    <t>Recettes</t>
  </si>
  <si>
    <t>Dépenses</t>
  </si>
  <si>
    <t>Subvention municipale</t>
  </si>
  <si>
    <t>Subvention départementale</t>
  </si>
  <si>
    <t>Subvention régionale</t>
  </si>
  <si>
    <t>Subvention d'Etat</t>
  </si>
  <si>
    <t>Subvention des fédérations</t>
  </si>
  <si>
    <t>Autres subventions</t>
  </si>
  <si>
    <t>Subvention du Conseil d'Administration</t>
  </si>
  <si>
    <t>Subvention du C.A. de l'année précédente</t>
  </si>
  <si>
    <t>Avance sur subvention du C.A. de l'année suivante</t>
  </si>
  <si>
    <t>Total dépenses</t>
  </si>
  <si>
    <t>Total recettes</t>
  </si>
  <si>
    <t>Cotisations des membres actifs</t>
  </si>
  <si>
    <t>Cotisations des membres honoraires</t>
  </si>
  <si>
    <t>Cotisations des membres bienfaiteurs</t>
  </si>
  <si>
    <t>Droits d'entrée des membres</t>
  </si>
  <si>
    <t>Dons et collectes auprès des particuliers</t>
  </si>
  <si>
    <t>Dons et collectes auprès des entreprises</t>
  </si>
  <si>
    <t>Dons des bénévoles de l'association</t>
  </si>
  <si>
    <t>Stages</t>
  </si>
  <si>
    <t>Exploitation buvette</t>
  </si>
  <si>
    <t>Exploitation restaurant</t>
  </si>
  <si>
    <t>Prestations publicitaires</t>
  </si>
  <si>
    <t>Ventes aux adhérents de matériel sportif</t>
  </si>
  <si>
    <t>Ventes aux adhérents d'équipements sportifs</t>
  </si>
  <si>
    <t>Ventes aux adhérents d'insignes, fanions, écussons…..</t>
  </si>
  <si>
    <t>Ventes aux adhérents de livres, brochures…..</t>
  </si>
  <si>
    <t>Ventes à des tiers de matériel sportif</t>
  </si>
  <si>
    <t>Ventes à des tiers d'équipements sportifs</t>
  </si>
  <si>
    <t>Ventes à des tiers d'insignes, fanions, écussons…..</t>
  </si>
  <si>
    <t>Ventes à des tiers de livres, brochures…..</t>
  </si>
  <si>
    <t>Billets d'entrée aux manifestations</t>
  </si>
  <si>
    <t>Droits d'engagements perçus</t>
  </si>
  <si>
    <t>Remboursements fédération</t>
  </si>
  <si>
    <t>Remboursements instance régionale</t>
  </si>
  <si>
    <t>Remboursements instance départementale</t>
  </si>
  <si>
    <t>Remboursements autres clubs</t>
  </si>
  <si>
    <t>Remboursements divers</t>
  </si>
  <si>
    <t>Produits nets sur cessions de valeurs mobilières</t>
  </si>
  <si>
    <t>Autres produits financiers</t>
  </si>
  <si>
    <t>Licences</t>
  </si>
  <si>
    <t>Assurances individuelles</t>
  </si>
  <si>
    <t>Engagements sports collectifs national et +</t>
  </si>
  <si>
    <t>Engagements sports collectifs régional et -</t>
  </si>
  <si>
    <t>Engagements sports individuels national et +</t>
  </si>
  <si>
    <t>Engagements sports individuels régional et -</t>
  </si>
  <si>
    <t>Charges diverses de gestion courante</t>
  </si>
  <si>
    <t>Subvention du C.A.</t>
  </si>
  <si>
    <t>Rétrocession de subvention spécifique communale</t>
  </si>
  <si>
    <t>Rétrocession de subvention spécifique départementale</t>
  </si>
  <si>
    <t>Rétrocession de subvention spécifique nationale</t>
  </si>
  <si>
    <t>Personnel administratif</t>
  </si>
  <si>
    <t>Personnel encadrement technique</t>
  </si>
  <si>
    <t>Personnel joueurs</t>
  </si>
  <si>
    <t>Cotisations URSSAF</t>
  </si>
  <si>
    <t>Cotisations aux caisses de retraite</t>
  </si>
  <si>
    <t>Cotisations aux ASSEDIC</t>
  </si>
  <si>
    <t>Médecine du travail</t>
  </si>
  <si>
    <t>Achats de matériel</t>
  </si>
  <si>
    <t>Achats d'équipements sportifs</t>
  </si>
  <si>
    <t>Achats de coupes, trophées, médailles</t>
  </si>
  <si>
    <t>Fournitures administratives</t>
  </si>
  <si>
    <t>Fournitures d'entretien et petit matériel</t>
  </si>
  <si>
    <t>Fourniture médicales</t>
  </si>
  <si>
    <t>Fournitures diverses</t>
  </si>
  <si>
    <t>Achats aliments</t>
  </si>
  <si>
    <t>Achats boissons</t>
  </si>
  <si>
    <t>Achats livres, brochures, guides sportifs…</t>
  </si>
  <si>
    <t>Achats insignes, fanions, accessoires, gadgets…</t>
  </si>
  <si>
    <t>Achats articles de sports</t>
  </si>
  <si>
    <t>Entretien et réparation sur bien immobilier</t>
  </si>
  <si>
    <t>Entretien et réparation sur bien mobilier</t>
  </si>
  <si>
    <t>Contrat de maintenance</t>
  </si>
  <si>
    <t>Assurance Responsabilité Civile</t>
  </si>
  <si>
    <t>Assurance Multirisque, incendie, vol…</t>
  </si>
  <si>
    <t>Assurance Véhicules</t>
  </si>
  <si>
    <t>Autres assurance</t>
  </si>
  <si>
    <t>total à reporter</t>
  </si>
  <si>
    <t>report page précédente</t>
  </si>
  <si>
    <t>Documentation générale</t>
  </si>
  <si>
    <t>Documentation technique</t>
  </si>
  <si>
    <t>Frais de colloques, séminaires, conférances…</t>
  </si>
  <si>
    <t>Expert-comptable</t>
  </si>
  <si>
    <t>Avocat</t>
  </si>
  <si>
    <t>Médecins et kinés</t>
  </si>
  <si>
    <t>Autres honoraires</t>
  </si>
  <si>
    <t>Frais d'actes et de contentieux</t>
  </si>
  <si>
    <t>Annonces et insertions</t>
  </si>
  <si>
    <t>Expositions</t>
  </si>
  <si>
    <t>Dépliants et imprimés</t>
  </si>
  <si>
    <t>Publications</t>
  </si>
  <si>
    <t>Déplacements sports collectifs niveau national et +</t>
  </si>
  <si>
    <t>Déplacements sports collectifs niveau régional et -</t>
  </si>
  <si>
    <t>Déplacements sports individuels niveau national et +</t>
  </si>
  <si>
    <t>Déplacements sports individuels niveau régional et -</t>
  </si>
  <si>
    <t>Déplacements du personnel</t>
  </si>
  <si>
    <t>Missions</t>
  </si>
  <si>
    <t>Réceptions</t>
  </si>
  <si>
    <t>Déplacements des bénévoles</t>
  </si>
  <si>
    <t>Affranchissements</t>
  </si>
  <si>
    <t>Téléphone</t>
  </si>
  <si>
    <t>Frais et commissions sur services bancaires</t>
  </si>
  <si>
    <t>Cotisations fédérales</t>
  </si>
  <si>
    <t>Cotisations régionales et départementales</t>
  </si>
  <si>
    <t>Taxe sur les salaires</t>
  </si>
  <si>
    <t>Taxe d'apprentissage</t>
  </si>
  <si>
    <t>Formation professionnelle</t>
  </si>
  <si>
    <t>Participation à l'effort de construction</t>
  </si>
  <si>
    <t>Droits d'enregistrement et timbres</t>
  </si>
  <si>
    <t>Sacem</t>
  </si>
  <si>
    <t>Intérêts sur emprunts</t>
  </si>
  <si>
    <t>Intérêts bancaires</t>
  </si>
  <si>
    <t>Solde</t>
  </si>
  <si>
    <t>Trésorerie saison  :</t>
  </si>
  <si>
    <t>Résultat de la saison</t>
  </si>
  <si>
    <t>Provisions pour achat de matériel</t>
  </si>
  <si>
    <t>Provisions pour organisation de manifestation</t>
  </si>
  <si>
    <t>Provisions pour charges de personnel</t>
  </si>
  <si>
    <t>Dotations aux provisions pour organisation de manifestation</t>
  </si>
  <si>
    <t>Dotations aux provisions pour achat de matériel</t>
  </si>
  <si>
    <t>Dotations aux provisions pour charges de personnel</t>
  </si>
  <si>
    <t>Résultat bénéficiaire :</t>
  </si>
  <si>
    <t>Résultat déficitaire :</t>
  </si>
  <si>
    <t>Cotisations</t>
  </si>
  <si>
    <t>Dons</t>
  </si>
  <si>
    <t>Manifestations</t>
  </si>
  <si>
    <t>Ventes de matériels, équipements …..</t>
  </si>
  <si>
    <t>Sponsoring</t>
  </si>
  <si>
    <t>Déplacements</t>
  </si>
  <si>
    <t>Produits financiers</t>
  </si>
  <si>
    <t>Provisions</t>
  </si>
  <si>
    <t>Fédération</t>
  </si>
  <si>
    <t>Personnel et charges</t>
  </si>
  <si>
    <t>Formation</t>
  </si>
  <si>
    <t>Achat et entretien de matériels, équipements…..</t>
  </si>
  <si>
    <t>Frais administratifs</t>
  </si>
  <si>
    <t>Assurances</t>
  </si>
  <si>
    <t>Frais financiers</t>
  </si>
  <si>
    <t>Résultat bénéficiaire</t>
  </si>
  <si>
    <t>Résultat déficitaire</t>
  </si>
  <si>
    <t>BILAN</t>
  </si>
  <si>
    <t>(110000) Report à nouveau bénéficiaire</t>
  </si>
  <si>
    <t>(119000) Report à nouveau déficitaire</t>
  </si>
  <si>
    <t>Sommes dues par le C.A.</t>
  </si>
  <si>
    <t>Subvention du C.A. à verser</t>
  </si>
  <si>
    <t>Somme disponible pour la saison prochaine</t>
  </si>
  <si>
    <t>SITUATION de la TRESORERIE</t>
  </si>
  <si>
    <t>(120000)</t>
  </si>
  <si>
    <t>(129000)</t>
  </si>
  <si>
    <t>droits de mutation</t>
  </si>
  <si>
    <t>Achats d'équipements pour entraineurs</t>
  </si>
  <si>
    <t>Achats d'équipements pour sportifs</t>
  </si>
  <si>
    <t>Compensation de mutation</t>
  </si>
  <si>
    <t>année N-1</t>
  </si>
  <si>
    <t>jour J</t>
  </si>
  <si>
    <t>Emprunt : capital restant à rembourser</t>
  </si>
  <si>
    <t>Emprunt : capital débloqué</t>
  </si>
  <si>
    <t>Emprunt : capital remboursé</t>
  </si>
  <si>
    <t>Emprunt débloqué</t>
  </si>
  <si>
    <t>Remboursement d'emprunt</t>
  </si>
  <si>
    <t>Emprunt : capital restant à embourser</t>
  </si>
  <si>
    <t>Emprunt remboursement du capital</t>
  </si>
  <si>
    <t>emprunt : capital restant à rembourser</t>
  </si>
  <si>
    <t>Dépôt de garantie</t>
  </si>
  <si>
    <t>Locations immobilières</t>
  </si>
  <si>
    <t>Locations de matériel</t>
  </si>
  <si>
    <t>Locations de véhicules</t>
  </si>
  <si>
    <t>Fournitures non stockables</t>
  </si>
  <si>
    <t>Location immobilière</t>
  </si>
  <si>
    <t>Cotisations de prévoyance</t>
  </si>
  <si>
    <t/>
  </si>
  <si>
    <t>2019-2020</t>
  </si>
  <si>
    <t>Date</t>
  </si>
  <si>
    <t>Libellé</t>
  </si>
  <si>
    <t>Solde N-1</t>
  </si>
  <si>
    <t>Dotations aux provisions</t>
  </si>
  <si>
    <t>Compte
POL</t>
  </si>
  <si>
    <t>CODE COMPTES POL TRAMPOLINE GENERAL</t>
  </si>
  <si>
    <r>
      <rPr>
        <b/>
        <sz val="8"/>
        <rFont val="Arial"/>
        <family val="2"/>
      </rPr>
      <t>Pointage</t>
    </r>
    <r>
      <rPr>
        <b/>
        <sz val="10"/>
        <rFont val="Arial"/>
        <family val="2"/>
      </rPr>
      <t xml:space="preserve"> Crédit Mutuel </t>
    </r>
    <r>
      <rPr>
        <b/>
        <sz val="8"/>
        <rFont val="Arial"/>
        <family val="2"/>
      </rPr>
      <t>(OUI)</t>
    </r>
  </si>
  <si>
    <t>COMPTE D'EXPLOITATION SAISON :</t>
  </si>
  <si>
    <t>Solde année N-1</t>
  </si>
  <si>
    <t>X</t>
  </si>
  <si>
    <t xml:space="preserve">Remboursement chômage partiel </t>
  </si>
  <si>
    <t>Y</t>
  </si>
  <si>
    <t>Dotation du Comité Directeur</t>
  </si>
  <si>
    <t>Dotation du Comité Directeur de l'année précédente</t>
  </si>
  <si>
    <t>Avance sur dotation du Comité Directeur de l'année suivante</t>
  </si>
  <si>
    <t>Remboursement charges sociales par les sections</t>
  </si>
  <si>
    <t>Remboursement prélèvement à la source par les sections</t>
  </si>
  <si>
    <t>Remboursement frais de paie par les sections</t>
  </si>
  <si>
    <t>Autres produits financiers *ANCV</t>
  </si>
  <si>
    <t>Autres produits financiers *COUPONS SPORT</t>
  </si>
  <si>
    <t>Produits exceptionnels divers</t>
  </si>
  <si>
    <t>Provisions pour trésorerie saison N+1</t>
  </si>
  <si>
    <t>Provisions pour subventions section saison N non versées</t>
  </si>
  <si>
    <t>Droits de mutation</t>
  </si>
  <si>
    <t>Cotisations Uniformation</t>
  </si>
  <si>
    <t>Prélèvement à la source</t>
  </si>
  <si>
    <t>Charges sociales versées au Comité Directeur</t>
  </si>
  <si>
    <t>Rbt ANCV chèques vacances aux sections</t>
  </si>
  <si>
    <t>Rbt ANCV coupons cports aux sections</t>
  </si>
  <si>
    <t>Frais de colloques, séminaires, conférences…</t>
  </si>
  <si>
    <t>Frais d'arbitrage</t>
  </si>
  <si>
    <t>Dot. Aux prov. Pr subv. Section saison N non versées</t>
  </si>
  <si>
    <t>Dotations aux provisons pour trésorerie saison N+1</t>
  </si>
  <si>
    <t>Màj :</t>
  </si>
  <si>
    <t>Dotations aux provisions pour trésorerie saison N+1</t>
  </si>
  <si>
    <t>Provisions pour trésorerie saison N</t>
  </si>
  <si>
    <t>Remboursement de charges par les sections</t>
  </si>
  <si>
    <t>R</t>
  </si>
  <si>
    <t>D</t>
  </si>
  <si>
    <t>COMPTE D'EXPLOITATION SAISON : Sept_2023 à fin août_2024</t>
  </si>
  <si>
    <t>Bilan de la saison LPOL section :</t>
  </si>
  <si>
    <t>N°
pièce</t>
  </si>
  <si>
    <t>Trésorerie LPOL section GV Fitness</t>
  </si>
  <si>
    <t>Solde début de saison</t>
  </si>
  <si>
    <t>Compte</t>
  </si>
  <si>
    <t>Livret</t>
  </si>
  <si>
    <t>Caisse</t>
  </si>
  <si>
    <t>Date
relevé</t>
  </si>
  <si>
    <t>GV Fitness</t>
  </si>
  <si>
    <t>Cotisations reçues par CB 24-25</t>
  </si>
  <si>
    <t>2024-2025</t>
  </si>
  <si>
    <t>Régularisation Produits constatés d'avance - Cotisations 2024/2025</t>
  </si>
  <si>
    <t>Régularisation Charges constatées d'avance - Cartes adhérents LPOL GV Fitness 2024/2025</t>
  </si>
  <si>
    <t>Virement - Affiliation à la Fédération 2024/2025</t>
  </si>
  <si>
    <t>-</t>
  </si>
  <si>
    <t>Virement - Remboursement achat enceinte pour cours du jeudi gymnase Courtand</t>
  </si>
  <si>
    <t>Virement - Licences FFEPGV 2024/2025</t>
  </si>
  <si>
    <t>Virement - Remboursement reproduction clés pour placard gymnase Courtand Balizy</t>
  </si>
  <si>
    <t>Frais Téléphone Sosh</t>
  </si>
  <si>
    <t>Virement salaires Septembre 2024 KOBLAN-HUBERSON</t>
  </si>
  <si>
    <t>Virement salaires Septembre 2024 LE DUC</t>
  </si>
  <si>
    <t>Virement salaires Septembre 2024 MANSBENDEL</t>
  </si>
  <si>
    <t>Virement salaires Septembre 2024 NGUYEN TUONG</t>
  </si>
  <si>
    <t>Virement salaires Septembre 2024 PIQUET</t>
  </si>
  <si>
    <t>Charges sociales Septembre 2024</t>
  </si>
  <si>
    <t>Prélèvement à la source Septembre 2024</t>
  </si>
  <si>
    <t>Frais du cabinet comptable par salarié Septembre 2024</t>
  </si>
  <si>
    <t>Cotisations 24-25 payées par chèques</t>
  </si>
  <si>
    <t>Cotisations 24-25 payées en espèces (complément chèques ANCV)</t>
  </si>
  <si>
    <t>Cotisations 24-25 payées en espèces déposées en banque</t>
  </si>
  <si>
    <t>Virement - Remplacement cours samedi 28/09/2024 (1h30)</t>
  </si>
  <si>
    <t>Oui</t>
  </si>
  <si>
    <t>Différence</t>
  </si>
  <si>
    <t>Compte livret 07/10</t>
  </si>
  <si>
    <t>Compte courant 07/10</t>
  </si>
  <si>
    <t>Solde au 07/10</t>
  </si>
  <si>
    <t>Virement banque vers livret (5 400 €)</t>
  </si>
  <si>
    <t>Dépôt espèces caisse en banque (5 €)</t>
  </si>
  <si>
    <t>Virement banque vers livret (6 000 €)</t>
  </si>
  <si>
    <t>Provision pour trésorerie</t>
  </si>
  <si>
    <t>Virement Gévédit - Achats 20 barres lestées de 2kg</t>
  </si>
  <si>
    <t>Virement - Remboursement achat téléphone Galaxy A53 5G 128Go</t>
  </si>
  <si>
    <t>Virement salaires Octobre 2024 KOBLAN-HUBERSON</t>
  </si>
  <si>
    <t>Virement salaires Octobre 2024 LE DUC</t>
  </si>
  <si>
    <t>Virement salaires Octobre 2024 MANSBENDEL</t>
  </si>
  <si>
    <t>Virement salaires Octobre 2024 NGUYEN TUONG</t>
  </si>
  <si>
    <t>Virement salaires Octobre 2024 PIQUET</t>
  </si>
  <si>
    <t>Charges sociales Octobre 2024</t>
  </si>
  <si>
    <t>Prélèvement à la source Octobre 2024</t>
  </si>
  <si>
    <t>Frais du cabinet comptable par salarié Octobre 2024</t>
  </si>
  <si>
    <t>Virement - Remboursement achat carte sim pour téléphone Galaxy A53 5G 128Go</t>
  </si>
  <si>
    <t>Dépôt espèces caisse en banque (15 €)</t>
  </si>
  <si>
    <t>Cotisations coupons sport (120 € moins 2,5% frais)</t>
  </si>
  <si>
    <t>Cotisations chèques ANCV (965 € moins 2,5% frais)</t>
  </si>
  <si>
    <t>Compte courant 05/11</t>
  </si>
  <si>
    <t>Solde au 05/11</t>
  </si>
  <si>
    <t>Compte livret 05/11</t>
  </si>
  <si>
    <t>Cotisation annuelle pour carte de dépôt (Facture n°SGT24060610005046 du 05/11/24)</t>
  </si>
  <si>
    <t>Virement Avance sur salaires Novembre 2024 LE DUC</t>
  </si>
  <si>
    <r>
      <t xml:space="preserve">Cotisations 24-25 payées par chèques </t>
    </r>
    <r>
      <rPr>
        <sz val="10"/>
        <rFont val="Arial"/>
        <family val="2"/>
      </rPr>
      <t>(régularisation écart de 5€)</t>
    </r>
  </si>
  <si>
    <r>
      <t xml:space="preserve">Cotisations 24-25 payées par chèques </t>
    </r>
    <r>
      <rPr>
        <sz val="10"/>
        <rFont val="Arial"/>
        <family val="2"/>
      </rPr>
      <t>(écart de 5€)</t>
    </r>
  </si>
  <si>
    <t>Cotisations 24-25 payées en espèces (compléments chèque employeur)</t>
  </si>
  <si>
    <t>Virement - Remplacement cours samedi 09/11/2024 (1h30)</t>
  </si>
  <si>
    <t>Chèque 4769026 - Remboursement achat PC portable Lenovo</t>
  </si>
  <si>
    <t>Compte courant 05/12</t>
  </si>
  <si>
    <t>Solde au 05/12</t>
  </si>
  <si>
    <t>Compte livret 05/12</t>
  </si>
  <si>
    <t>Virement salaires Novembre 2024 KOBLAN-HUBERSON</t>
  </si>
  <si>
    <t>Virement salaires Novembre 2024 LE DUC</t>
  </si>
  <si>
    <t>Virement salaires Novembre 2024 MANSBENDEL</t>
  </si>
  <si>
    <t>Virement salaires Novembre 2024 NGUYEN TUONG</t>
  </si>
  <si>
    <t>Virement salaires Novembre 2024 PIQUET</t>
  </si>
  <si>
    <t>Charges sociales Novembre 2024</t>
  </si>
  <si>
    <t>Prélèvement à la source Novembre 2024</t>
  </si>
  <si>
    <t>Frais du cabinet comptable par salarié Novembre 2024</t>
  </si>
  <si>
    <t>Virement livret vers banque (1 000 €)</t>
  </si>
  <si>
    <t>Virement livret vers banque (500 €)</t>
  </si>
  <si>
    <t>Virement salaires Décembre 2024 KOBLAN-HUBERSON</t>
  </si>
  <si>
    <t>Virement salaires Décembre 2024 LE DUC</t>
  </si>
  <si>
    <t>Virement salaires Décembre 2024 MANSBENDEL</t>
  </si>
  <si>
    <t>Virement salaires Décembre 2024 NGUYEN TUONG</t>
  </si>
  <si>
    <t>Virement salaires Décembre 2024 PIQUET</t>
  </si>
  <si>
    <t>Frais du cabinet comptable par salarié Décembre 2024</t>
  </si>
  <si>
    <t>Prélèvement à la source Décembre 2024</t>
  </si>
  <si>
    <t>Charges sociales Décembre 2024</t>
  </si>
  <si>
    <t>Compte courant 06/01</t>
  </si>
  <si>
    <t>Compte livret 06/01</t>
  </si>
  <si>
    <t>Solde au 06/01</t>
  </si>
  <si>
    <t>Intérêts livret Triplex 2024</t>
  </si>
  <si>
    <t>Chèque 4769026</t>
  </si>
  <si>
    <t>Cotisations reçues par CB 24-25 (régularisation Mme Cassiere)</t>
  </si>
  <si>
    <t>Cotisations reçues par CB 24-25 (régularisation Mme Halama)</t>
  </si>
  <si>
    <t>Virement livret vers banque (2 000 €)</t>
  </si>
  <si>
    <t>Remboursement par CD Partenariat Mon Opticien</t>
  </si>
  <si>
    <t>Compte courant 05/02</t>
  </si>
  <si>
    <t>Compte livret 05/02</t>
  </si>
  <si>
    <t>Solde au 05/02</t>
  </si>
  <si>
    <t>Remboursement achat 5 steps chez Intersport le 07/02/25</t>
  </si>
  <si>
    <t>Virement livret vers banque (3 000 €)</t>
  </si>
  <si>
    <t xml:space="preserve">Virement - HIIT et Pilates 05/12/19/26 fév 25 (8h) + Rempl senior et cardio 03/17/24 fév 25 (6h) </t>
  </si>
  <si>
    <t>Remboursement achat 5 steps chez Intersport le 14/02/25</t>
  </si>
  <si>
    <t>AFDAS Formation professionnelle</t>
  </si>
  <si>
    <t>Cotisations reçues par CB 24-25 (régularisation Mme Depoers)</t>
  </si>
  <si>
    <t>Reproduction 1 clé pour gymnase Courtand Balizy</t>
  </si>
  <si>
    <t>Cotisations 24-25 payées en espèces</t>
  </si>
  <si>
    <t>Subvention LPOL CD 2024/2025</t>
  </si>
  <si>
    <t>Virement livret vers banque (2 500 €)</t>
  </si>
  <si>
    <t>Compte courant 05/03</t>
  </si>
  <si>
    <t>Compte livret 05/03</t>
  </si>
  <si>
    <t>Solde au 05/03</t>
  </si>
  <si>
    <t>Compte courant 07/04</t>
  </si>
  <si>
    <t>Solde au 07/04</t>
  </si>
  <si>
    <t>Compte livret 07/04</t>
  </si>
  <si>
    <t>Virement salaires Avril 2025 KOBLAN-HUBERSON</t>
  </si>
  <si>
    <t>Virement salaires Avril 2025 LE DUC</t>
  </si>
  <si>
    <t>Virement salaires Avril 2025 MANSBENDEL</t>
  </si>
  <si>
    <t>Virement salaires Avril 2025 NGUYEN TUONG</t>
  </si>
  <si>
    <t>Virement salaires Avril 2025 PIQUET</t>
  </si>
  <si>
    <t>Charges sociales Avril 2025</t>
  </si>
  <si>
    <t>Prélèvement à la source Avril 2025</t>
  </si>
  <si>
    <t>Frais du cabinet comptable par salarié Avril 2025</t>
  </si>
  <si>
    <t>Virement salaires Mars 2025 KOBLAN-HUBERSON</t>
  </si>
  <si>
    <t>Virement salaires Mars 2025 LE DUC</t>
  </si>
  <si>
    <t>Virement salaires Mars 2025 MANSBENDEL</t>
  </si>
  <si>
    <t>Virement salaires Mars 2025 NGUYEN TUONG</t>
  </si>
  <si>
    <t>Virement salaires Mars 2025 PIQUET</t>
  </si>
  <si>
    <t>Charges sociales Mars 2025</t>
  </si>
  <si>
    <t>Prélèvement à la source Mars 2025</t>
  </si>
  <si>
    <t>Frais du cabinet comptable par salarié Mars 2025</t>
  </si>
  <si>
    <t>Virement salaires Février 2025 KOBLAN-HUBERSON</t>
  </si>
  <si>
    <t>Virement salaires Février 2025 LE DUC</t>
  </si>
  <si>
    <t>Virement salaires Février 2025 MANSBENDEL</t>
  </si>
  <si>
    <t>Virement salaires Février 2025 NGUYEN TUONG</t>
  </si>
  <si>
    <t>Virement salaires Février 2025 PIQUET</t>
  </si>
  <si>
    <t>Charges sociales Février 2025</t>
  </si>
  <si>
    <t>Prélèvement à la source Février 2025</t>
  </si>
  <si>
    <t>Frais du cabinet comptable par salarié Février 2025</t>
  </si>
  <si>
    <t>Virement salaires Janvier 2025 KOBLAN-HUBERSON</t>
  </si>
  <si>
    <t>Virement salaires Janvier 2025 LE DUC</t>
  </si>
  <si>
    <t>Virement salaires Janvier 2025 MANSBENDEL</t>
  </si>
  <si>
    <t>Virement salaires Janvier 2025 NGUYEN TUONG</t>
  </si>
  <si>
    <t>Virement salaires Janvier 2025 PIQUET</t>
  </si>
  <si>
    <t>Charges sociales Janvier 2025</t>
  </si>
  <si>
    <t>Prélèvement à la source Janvier 2025</t>
  </si>
  <si>
    <t>Frais du cabinet comptable par salarié Janvier 2025</t>
  </si>
  <si>
    <t xml:space="preserve">Virement - HIIT et Pilates 02/09/16/23/30 avril 25 (10h) + Rempl senior et cardio 14 avril 25 (2h) </t>
  </si>
  <si>
    <t xml:space="preserve">Virement - Remboursement achat enceinte pour cours dans gymnases Linder et Nicolas </t>
  </si>
  <si>
    <t>Compte courant 05/05</t>
  </si>
  <si>
    <t>Solde au 05/05</t>
  </si>
  <si>
    <t>Compte livret 05/05</t>
  </si>
  <si>
    <t>Facture commission carte automate bancaire</t>
  </si>
  <si>
    <t>Virement salaires Mai 2025 KOBLAN-HUBERSON</t>
  </si>
  <si>
    <t>Virement salaires Mai 2025 LE DUC</t>
  </si>
  <si>
    <t>Virement salaires Mai 2025 MANSBENDEL</t>
  </si>
  <si>
    <t>Virement salaires Mai 2025 NGUYEN TUONG</t>
  </si>
  <si>
    <t>Virement salaires Mai 2025 PIQUET</t>
  </si>
  <si>
    <t>Charges sociales Mai 2025</t>
  </si>
  <si>
    <t>Prélèvement à la source Mai 2025</t>
  </si>
  <si>
    <t>Frais du cabinet comptable par salarié Mai 2025</t>
  </si>
  <si>
    <t>Virement - Remplacement cours samedi 05/05/2025 (1h30)</t>
  </si>
  <si>
    <t>Virement livret vers banque (1 500 €)</t>
  </si>
  <si>
    <t>Compte courant 05/06</t>
  </si>
  <si>
    <t>Compte livret 05/06</t>
  </si>
  <si>
    <t>Solde au 05/06</t>
  </si>
  <si>
    <t>Cotisation ACMS Isabelle PIQUET (médecine du travail)</t>
  </si>
  <si>
    <t>Virement salaires Juin 2025 KOBLAN-HUBERSON</t>
  </si>
  <si>
    <t>Virement salaires Juin 2025 LE DUC</t>
  </si>
  <si>
    <t>Virement salaires Juin 2025 MANSBENDEL</t>
  </si>
  <si>
    <t>Virement salaires Juin 2025 NGUYEN TUONG</t>
  </si>
  <si>
    <t>Virement salaires Juin 2025 PIQUET</t>
  </si>
  <si>
    <t>Charges sociales Juin 2025</t>
  </si>
  <si>
    <t>Prélèvement à la source Juin 2025</t>
  </si>
  <si>
    <t>Frais du cabinet comptable par salarié Juin 2025</t>
  </si>
  <si>
    <t>Compte livret 07/07</t>
  </si>
  <si>
    <t>Solde au 07/07</t>
  </si>
  <si>
    <t>Compte courant 07/07</t>
  </si>
  <si>
    <t>Virement - Rembours achat boissons et alimentation - AG GV Fitness du 17/10/24</t>
  </si>
  <si>
    <t>Chèque 4769026 (total 44,79) - Rembours achat alimentation - Fête fin saison 30/06/25</t>
  </si>
  <si>
    <t>Chèque 4769026 (total 44,79) - Rembours achat boissons - Fête fin saison 30/06/25</t>
  </si>
  <si>
    <t>Cotisations reçues par CB 25-26</t>
  </si>
  <si>
    <t>Chèque 4769026 (total 44,79) - Rembours achat verres &amp; serviettes - Fête fin saison 30/06/25</t>
  </si>
  <si>
    <t>Virement salaires Juillet 2025 KOBLAN-HUBERSON</t>
  </si>
  <si>
    <t>Virement salaires Juillet 2025 LE DUC</t>
  </si>
  <si>
    <t>Virement salaires Juillet 2025 MANSBENDEL</t>
  </si>
  <si>
    <t>Virement salaires Juillet 2025 NGUYEN TUONG</t>
  </si>
  <si>
    <t>Virement salaires Juillet 2025 PIQUET</t>
  </si>
  <si>
    <t>Charges sociales Juillet 2025</t>
  </si>
  <si>
    <t>Prélèvement à la source Juillet 2025</t>
  </si>
  <si>
    <t>Frais du cabinet comptable par salarié Juillet 2025</t>
  </si>
  <si>
    <t>Virement - Imprimerie Payard cartes adhérents LPOL GV Fitness saison 2025/2026</t>
  </si>
  <si>
    <t>Virement - Remplacement HIIT 13/20/27 nov 24 (3h) + Cours Pilates 13/20/27 nov 24 (3h)</t>
  </si>
  <si>
    <t>Virement - Remplacement HIIT 04/11/18 déc 24 (3h) + Cours Pilates 04/11/18 déc 24 (3h)</t>
  </si>
  <si>
    <t>Virement - Remplacement HIIT 08/15/22/29 janv 25 (4h) + Cours Pilates 08/15/22/29 janv 25 (4h)</t>
  </si>
  <si>
    <t>Virement - Remplacement HIIT 12/19/26 mars 25 (3h) + Cours Pilates 12/19/26 mars 25 (3h)</t>
  </si>
  <si>
    <t>Virement - Remplacement HIIT 14/21/28 mai 25 (3h) + Cours Pilates 14/21/28 mai 25 (3h)</t>
  </si>
  <si>
    <t>Virement - Remplacement HIIT 4/11/18/25 juin 25 (4h) + Cours Pilates 4/11/18/25 juin 25 (4h)</t>
  </si>
  <si>
    <t>Virement - Remplacement HIIT 2 juillet 25 (1h) + Cours Pilates 2 juillet 25 (1h)</t>
  </si>
  <si>
    <t>Virement - Remplacement HIIT 11/18/25 sept 24 (3h) + Cours Pilates 11/18/25 sept 24 (3h)</t>
  </si>
  <si>
    <t>Virement - Remplacement HIIT 2/9/16/23/30 oct 24 (5h) + Cours Pilates 2/9/16/23/30 oct 24 (5h)</t>
  </si>
  <si>
    <t>Virement - Achat ramette papier, cartouche encre pour impressions et pochettes perforées</t>
  </si>
  <si>
    <t>Virement livret vers banque (2 700 €)</t>
  </si>
  <si>
    <t xml:space="preserve">Cotisations reçues par CB 25-26 (remboursement </t>
  </si>
  <si>
    <t>Virement - Frais d'envoi RAR pour fin CDI Cécile MANSBENDEL</t>
  </si>
  <si>
    <t>Virement salaires Août 2025 KOBLAN-HUBERSON</t>
  </si>
  <si>
    <t>Virement salaires Août 2025 LE DUC</t>
  </si>
  <si>
    <t>Virement salaires Août 2025 MANSBENDEL</t>
  </si>
  <si>
    <t>Virement salaires Août 2025 NGUYEN TUONG</t>
  </si>
  <si>
    <t>Virement salaires Août 2025 PIQUET</t>
  </si>
  <si>
    <t>Charges sociales Août 2025</t>
  </si>
  <si>
    <t>Prélèvement à la source Août 2025</t>
  </si>
  <si>
    <t>Frais du cabinet comptable par salarié Août 2025</t>
  </si>
  <si>
    <t>Frais du cabinet comptable Août 2025 pour fin contrat de Cécile MANSBENDEL</t>
  </si>
  <si>
    <t>Produits constatés d'avance - Cotisations reçues par CB 25-26</t>
  </si>
  <si>
    <t>Charges constatées d'avance - Cartes adhérents LPOL GV Fitness saison 2025/2026</t>
  </si>
  <si>
    <t>Compte courant 05/08</t>
  </si>
  <si>
    <t>Solde au 05/08</t>
  </si>
  <si>
    <t>Compte livret 05/08</t>
  </si>
  <si>
    <t>Compte courant 05/09</t>
  </si>
  <si>
    <t>Solde au 05/09</t>
  </si>
  <si>
    <t>Compte livret 05/09</t>
  </si>
  <si>
    <t>Produits constatés d'avance</t>
  </si>
  <si>
    <t>Charges constatées d'avance</t>
  </si>
  <si>
    <t>Cotisations reçues CB 25/26 le 02/09</t>
  </si>
  <si>
    <t>Cotisations reçues CB 25/26 le 03/09</t>
  </si>
  <si>
    <t>Cotisations reçues CB 25/26 le 04/09</t>
  </si>
  <si>
    <t>Cotisations reçues CB 25/26 le 01/09</t>
  </si>
  <si>
    <t>Cotisations reçues CB 25/26 le 05/09</t>
  </si>
  <si>
    <t>Chèque 4769026 non encaissé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</si>
</sst>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[$€-1]_-;\-* #,##0.00\ [$€-1]_-;_-* &quot;-&quot;??\ [$€-1]_-"/>
    <numFmt numFmtId="165" formatCode="#,##0.00_ ;\-#,##0.00\ "/>
    <numFmt numFmtId="166" formatCode="_-* #,##0.00\ [$€-1]_-;\-* #,##0.00\ [$€-1]_-;_-* &quot;-&quot;??\ [$€-1]_-;_-@_-"/>
    <numFmt numFmtId="167" formatCode="#,##0.00\ [$€-1]"/>
    <numFmt numFmtId="168" formatCode="#,##0.00\ [$€-1];\-#,##0.00\ [$€-1]"/>
    <numFmt numFmtId="169" formatCode="#,##0.00\ &quot;€&quot;"/>
    <numFmt numFmtId="170" formatCode="[$-F800]dddd\,\ mmmm\ dd\,\ yyyy"/>
    <numFmt numFmtId="171" formatCode="h:mm;@"/>
    <numFmt numFmtId="172" formatCode="dd/mm/yy"/>
    <numFmt numFmtId="173" formatCode="#,##0.00_ ;[Red]\-#,##0.00\ "/>
    <numFmt numFmtId="174" formatCode="dd/mm/yy;@"/>
    <numFmt numFmtId="175" formatCode="#,##0_ ;[Red]\-#,##0\ 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u/>
      <sz val="14"/>
      <name val="Arial"/>
      <family val="2"/>
    </font>
    <font>
      <b/>
      <u/>
      <sz val="20"/>
      <name val="Arial"/>
      <family val="2"/>
    </font>
    <font>
      <sz val="16"/>
      <name val="Arial"/>
      <family val="2"/>
    </font>
    <font>
      <b/>
      <u/>
      <sz val="12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i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6464"/>
        <bgColor indexed="64"/>
      </patternFill>
    </fill>
    <fill>
      <patternFill patternType="solid">
        <fgColor rgb="FF64FF6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 diagonalUp="1"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 diagonalDown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 diagonalDown="1"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28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15">
    <xf numFmtId="0" fontId="0" fillId="0" borderId="0" xfId="0"/>
    <xf numFmtId="0" fontId="2" fillId="3" borderId="0" xfId="0" applyFont="1" applyFill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/>
    <xf numFmtId="0" fontId="2" fillId="3" borderId="20" xfId="0" applyFont="1" applyFill="1" applyBorder="1" applyAlignment="1">
      <alignment horizontal="center"/>
    </xf>
    <xf numFmtId="0" fontId="0" fillId="3" borderId="0" xfId="0" applyFill="1"/>
    <xf numFmtId="0" fontId="0" fillId="3" borderId="20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35" xfId="0" applyFill="1" applyBorder="1"/>
    <xf numFmtId="164" fontId="1" fillId="3" borderId="35" xfId="1" applyFill="1" applyBorder="1" applyProtection="1"/>
    <xf numFmtId="164" fontId="1" fillId="3" borderId="36" xfId="1" applyFill="1" applyBorder="1" applyProtection="1"/>
    <xf numFmtId="0" fontId="0" fillId="3" borderId="38" xfId="0" applyFill="1" applyBorder="1"/>
    <xf numFmtId="0" fontId="2" fillId="3" borderId="21" xfId="0" applyFont="1" applyFill="1" applyBorder="1" applyAlignment="1">
      <alignment horizontal="center"/>
    </xf>
    <xf numFmtId="4" fontId="2" fillId="3" borderId="0" xfId="1" applyNumberFormat="1" applyFont="1" applyFill="1" applyBorder="1" applyAlignment="1" applyProtection="1">
      <alignment horizontal="center"/>
    </xf>
    <xf numFmtId="165" fontId="2" fillId="3" borderId="21" xfId="1" applyNumberFormat="1" applyFont="1" applyFill="1" applyBorder="1" applyAlignment="1" applyProtection="1">
      <alignment horizontal="center"/>
    </xf>
    <xf numFmtId="49" fontId="7" fillId="3" borderId="20" xfId="0" applyNumberFormat="1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64" fontId="1" fillId="0" borderId="0" xfId="1" applyFill="1" applyProtection="1"/>
    <xf numFmtId="0" fontId="0" fillId="0" borderId="19" xfId="0" applyBorder="1"/>
    <xf numFmtId="0" fontId="0" fillId="0" borderId="19" xfId="0" applyBorder="1" applyAlignment="1">
      <alignment horizontal="center"/>
    </xf>
    <xf numFmtId="164" fontId="1" fillId="0" borderId="19" xfId="1" applyFill="1" applyBorder="1" applyProtection="1"/>
    <xf numFmtId="4" fontId="0" fillId="0" borderId="0" xfId="0" applyNumberFormat="1"/>
    <xf numFmtId="0" fontId="2" fillId="0" borderId="19" xfId="0" applyFont="1" applyBorder="1"/>
    <xf numFmtId="4" fontId="2" fillId="0" borderId="19" xfId="1" applyNumberFormat="1" applyFont="1" applyFill="1" applyBorder="1" applyProtection="1"/>
    <xf numFmtId="0" fontId="2" fillId="0" borderId="0" xfId="0" applyFont="1"/>
    <xf numFmtId="164" fontId="1" fillId="0" borderId="0" xfId="1" applyFill="1" applyBorder="1" applyProtection="1"/>
    <xf numFmtId="4" fontId="2" fillId="0" borderId="0" xfId="1" applyNumberFormat="1" applyFont="1" applyFill="1" applyBorder="1" applyProtection="1"/>
    <xf numFmtId="0" fontId="0" fillId="5" borderId="0" xfId="0" applyFill="1" applyAlignment="1">
      <alignment horizontal="center"/>
    </xf>
    <xf numFmtId="0" fontId="0" fillId="5" borderId="0" xfId="0" applyFill="1"/>
    <xf numFmtId="164" fontId="1" fillId="5" borderId="0" xfId="1" applyFill="1" applyProtection="1"/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64" fontId="2" fillId="5" borderId="2" xfId="1" applyFont="1" applyFill="1" applyBorder="1" applyAlignment="1" applyProtection="1">
      <alignment horizontal="center" vertical="center"/>
    </xf>
    <xf numFmtId="164" fontId="2" fillId="4" borderId="2" xfId="1" applyFont="1" applyFill="1" applyBorder="1" applyAlignment="1" applyProtection="1">
      <alignment horizontal="center" vertical="center"/>
    </xf>
    <xf numFmtId="167" fontId="3" fillId="3" borderId="17" xfId="1" applyNumberFormat="1" applyFont="1" applyFill="1" applyBorder="1" applyAlignment="1" applyProtection="1">
      <alignment vertical="center"/>
    </xf>
    <xf numFmtId="167" fontId="8" fillId="3" borderId="46" xfId="1" applyNumberFormat="1" applyFont="1" applyFill="1" applyBorder="1" applyAlignment="1" applyProtection="1">
      <alignment vertical="center"/>
    </xf>
    <xf numFmtId="167" fontId="8" fillId="3" borderId="17" xfId="1" applyNumberFormat="1" applyFont="1" applyFill="1" applyBorder="1" applyAlignment="1" applyProtection="1">
      <alignment vertical="center"/>
    </xf>
    <xf numFmtId="167" fontId="0" fillId="3" borderId="9" xfId="0" applyNumberFormat="1" applyFill="1" applyBorder="1" applyAlignment="1">
      <alignment vertical="center"/>
    </xf>
    <xf numFmtId="167" fontId="0" fillId="3" borderId="25" xfId="0" applyNumberFormat="1" applyFill="1" applyBorder="1" applyAlignment="1">
      <alignment vertical="center"/>
    </xf>
    <xf numFmtId="167" fontId="2" fillId="3" borderId="17" xfId="1" applyNumberFormat="1" applyFont="1" applyFill="1" applyBorder="1" applyAlignment="1" applyProtection="1">
      <alignment horizontal="right" vertical="center"/>
    </xf>
    <xf numFmtId="167" fontId="2" fillId="3" borderId="0" xfId="1" applyNumberFormat="1" applyFont="1" applyFill="1" applyBorder="1" applyAlignment="1" applyProtection="1">
      <alignment horizontal="center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4" fontId="2" fillId="5" borderId="0" xfId="1" applyFont="1" applyFill="1" applyBorder="1" applyProtection="1"/>
    <xf numFmtId="0" fontId="2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165" fontId="3" fillId="5" borderId="0" xfId="1" applyNumberFormat="1" applyFont="1" applyFill="1" applyBorder="1" applyProtection="1"/>
    <xf numFmtId="165" fontId="8" fillId="5" borderId="0" xfId="1" applyNumberFormat="1" applyFont="1" applyFill="1" applyBorder="1" applyProtection="1"/>
    <xf numFmtId="0" fontId="8" fillId="5" borderId="0" xfId="0" applyFont="1" applyFill="1" applyAlignment="1">
      <alignment horizontal="center"/>
    </xf>
    <xf numFmtId="0" fontId="0" fillId="5" borderId="0" xfId="0" applyFill="1" applyAlignment="1">
      <alignment horizontal="left"/>
    </xf>
    <xf numFmtId="0" fontId="0" fillId="5" borderId="35" xfId="0" applyFill="1" applyBorder="1" applyAlignment="1">
      <alignment horizontal="center"/>
    </xf>
    <xf numFmtId="4" fontId="0" fillId="5" borderId="0" xfId="0" applyNumberFormat="1" applyFill="1"/>
    <xf numFmtId="0" fontId="2" fillId="5" borderId="35" xfId="0" applyFont="1" applyFill="1" applyBorder="1" applyAlignment="1">
      <alignment horizontal="center"/>
    </xf>
    <xf numFmtId="0" fontId="1" fillId="5" borderId="35" xfId="1" applyNumberFormat="1" applyFont="1" applyFill="1" applyBorder="1" applyProtection="1"/>
    <xf numFmtId="164" fontId="1" fillId="5" borderId="35" xfId="1" applyFill="1" applyBorder="1" applyProtection="1"/>
    <xf numFmtId="0" fontId="0" fillId="5" borderId="35" xfId="0" applyFill="1" applyBorder="1"/>
    <xf numFmtId="0" fontId="0" fillId="5" borderId="20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2" fillId="5" borderId="0" xfId="0" applyFont="1" applyFill="1"/>
    <xf numFmtId="0" fontId="2" fillId="5" borderId="35" xfId="0" applyFont="1" applyFill="1" applyBorder="1"/>
    <xf numFmtId="164" fontId="1" fillId="5" borderId="0" xfId="1" applyFill="1" applyBorder="1" applyProtection="1"/>
    <xf numFmtId="4" fontId="1" fillId="5" borderId="21" xfId="1" applyNumberFormat="1" applyFill="1" applyBorder="1" applyProtection="1"/>
    <xf numFmtId="4" fontId="2" fillId="5" borderId="36" xfId="1" applyNumberFormat="1" applyFont="1" applyFill="1" applyBorder="1" applyProtection="1"/>
    <xf numFmtId="0" fontId="0" fillId="5" borderId="18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164" fontId="1" fillId="5" borderId="21" xfId="1" applyFill="1" applyBorder="1" applyProtection="1"/>
    <xf numFmtId="0" fontId="2" fillId="5" borderId="20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164" fontId="1" fillId="5" borderId="36" xfId="1" applyFill="1" applyBorder="1" applyProtection="1"/>
    <xf numFmtId="4" fontId="1" fillId="5" borderId="21" xfId="1" applyNumberFormat="1" applyFont="1" applyFill="1" applyBorder="1" applyProtection="1"/>
    <xf numFmtId="0" fontId="2" fillId="5" borderId="19" xfId="0" applyFont="1" applyFill="1" applyBorder="1" applyAlignment="1">
      <alignment horizontal="center"/>
    </xf>
    <xf numFmtId="164" fontId="2" fillId="5" borderId="19" xfId="1" applyFont="1" applyFill="1" applyBorder="1" applyAlignment="1" applyProtection="1">
      <alignment horizontal="center"/>
    </xf>
    <xf numFmtId="0" fontId="0" fillId="5" borderId="38" xfId="0" applyFill="1" applyBorder="1"/>
    <xf numFmtId="0" fontId="13" fillId="5" borderId="23" xfId="0" applyFont="1" applyFill="1" applyBorder="1"/>
    <xf numFmtId="0" fontId="13" fillId="5" borderId="31" xfId="0" applyFont="1" applyFill="1" applyBorder="1"/>
    <xf numFmtId="167" fontId="1" fillId="3" borderId="49" xfId="1" applyNumberFormat="1" applyFont="1" applyFill="1" applyBorder="1" applyAlignment="1" applyProtection="1">
      <alignment vertical="center"/>
    </xf>
    <xf numFmtId="0" fontId="14" fillId="5" borderId="6" xfId="0" applyFont="1" applyFill="1" applyBorder="1" applyAlignment="1">
      <alignment horizontal="center" vertical="center"/>
    </xf>
    <xf numFmtId="0" fontId="13" fillId="5" borderId="0" xfId="0" applyFont="1" applyFill="1"/>
    <xf numFmtId="0" fontId="0" fillId="3" borderId="4" xfId="0" applyFill="1" applyBorder="1" applyAlignment="1">
      <alignment horizontal="center" vertical="center"/>
    </xf>
    <xf numFmtId="0" fontId="0" fillId="3" borderId="23" xfId="0" applyFill="1" applyBorder="1" applyAlignment="1">
      <alignment vertical="center"/>
    </xf>
    <xf numFmtId="164" fontId="1" fillId="3" borderId="0" xfId="1" applyFill="1" applyBorder="1" applyAlignment="1" applyProtection="1">
      <alignment vertical="center"/>
    </xf>
    <xf numFmtId="167" fontId="0" fillId="3" borderId="5" xfId="0" applyNumberFormat="1" applyFill="1" applyBorder="1" applyAlignment="1">
      <alignment vertical="center"/>
    </xf>
    <xf numFmtId="0" fontId="0" fillId="3" borderId="26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64" fontId="1" fillId="3" borderId="0" xfId="1" applyFont="1" applyFill="1" applyBorder="1" applyAlignment="1" applyProtection="1">
      <alignment vertical="center"/>
    </xf>
    <xf numFmtId="164" fontId="1" fillId="3" borderId="5" xfId="1" applyFont="1" applyFill="1" applyBorder="1" applyAlignment="1" applyProtection="1">
      <alignment vertical="center"/>
    </xf>
    <xf numFmtId="164" fontId="1" fillId="3" borderId="5" xfId="1" applyFill="1" applyBorder="1" applyAlignment="1" applyProtection="1">
      <alignment vertical="center"/>
    </xf>
    <xf numFmtId="0" fontId="0" fillId="3" borderId="0" xfId="0" applyFill="1" applyAlignment="1">
      <alignment horizontal="left" vertical="center"/>
    </xf>
    <xf numFmtId="4" fontId="0" fillId="3" borderId="5" xfId="0" applyNumberFormat="1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164" fontId="1" fillId="3" borderId="28" xfId="1" applyFill="1" applyBorder="1" applyAlignment="1" applyProtection="1">
      <alignment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vertical="center"/>
    </xf>
    <xf numFmtId="164" fontId="1" fillId="3" borderId="31" xfId="1" applyFill="1" applyBorder="1" applyAlignment="1" applyProtection="1">
      <alignment vertical="center"/>
    </xf>
    <xf numFmtId="164" fontId="1" fillId="3" borderId="32" xfId="1" applyFill="1" applyBorder="1" applyAlignment="1" applyProtection="1">
      <alignment vertical="center"/>
    </xf>
    <xf numFmtId="167" fontId="0" fillId="3" borderId="33" xfId="0" applyNumberFormat="1" applyFill="1" applyBorder="1" applyAlignment="1">
      <alignment vertical="center"/>
    </xf>
    <xf numFmtId="164" fontId="1" fillId="3" borderId="23" xfId="1" applyFill="1" applyBorder="1" applyAlignment="1" applyProtection="1">
      <alignment vertical="center"/>
    </xf>
    <xf numFmtId="164" fontId="1" fillId="3" borderId="24" xfId="1" applyFill="1" applyBorder="1" applyAlignment="1" applyProtection="1">
      <alignment vertical="center"/>
    </xf>
    <xf numFmtId="167" fontId="0" fillId="3" borderId="37" xfId="0" applyNumberFormat="1" applyFill="1" applyBorder="1" applyAlignment="1">
      <alignment vertical="center"/>
    </xf>
    <xf numFmtId="167" fontId="1" fillId="3" borderId="5" xfId="1" applyNumberFormat="1" applyFill="1" applyBorder="1" applyAlignment="1" applyProtection="1">
      <alignment vertical="center"/>
    </xf>
    <xf numFmtId="167" fontId="0" fillId="3" borderId="21" xfId="0" applyNumberFormat="1" applyFill="1" applyBorder="1" applyAlignment="1">
      <alignment vertical="center"/>
    </xf>
    <xf numFmtId="167" fontId="1" fillId="3" borderId="21" xfId="1" applyNumberFormat="1" applyFill="1" applyBorder="1" applyAlignment="1" applyProtection="1">
      <alignment vertical="center"/>
    </xf>
    <xf numFmtId="0" fontId="0" fillId="3" borderId="22" xfId="0" applyFill="1" applyBorder="1" applyAlignment="1">
      <alignment vertical="center"/>
    </xf>
    <xf numFmtId="167" fontId="16" fillId="3" borderId="49" xfId="1" applyNumberFormat="1" applyFont="1" applyFill="1" applyBorder="1" applyAlignment="1" applyProtection="1">
      <alignment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4" fontId="1" fillId="2" borderId="2" xfId="1" applyNumberFormat="1" applyFill="1" applyBorder="1" applyAlignment="1" applyProtection="1">
      <alignment vertical="center"/>
    </xf>
    <xf numFmtId="164" fontId="1" fillId="2" borderId="17" xfId="1" applyFill="1" applyBorder="1" applyAlignment="1" applyProtection="1">
      <alignment vertical="center"/>
    </xf>
    <xf numFmtId="14" fontId="0" fillId="2" borderId="46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164" fontId="1" fillId="2" borderId="3" xfId="1" applyFill="1" applyBorder="1" applyAlignment="1" applyProtection="1">
      <alignment vertical="center"/>
    </xf>
    <xf numFmtId="0" fontId="0" fillId="5" borderId="0" xfId="0" applyFill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/>
    </xf>
    <xf numFmtId="166" fontId="2" fillId="4" borderId="10" xfId="1" applyNumberFormat="1" applyFont="1" applyFill="1" applyBorder="1" applyAlignment="1" applyProtection="1">
      <alignment horizontal="center" vertical="center"/>
      <protection locked="0"/>
    </xf>
    <xf numFmtId="168" fontId="13" fillId="4" borderId="5" xfId="0" applyNumberFormat="1" applyFont="1" applyFill="1" applyBorder="1" applyAlignment="1" applyProtection="1">
      <alignment vertical="center"/>
      <protection locked="0"/>
    </xf>
    <xf numFmtId="168" fontId="13" fillId="4" borderId="21" xfId="0" applyNumberFormat="1" applyFont="1" applyFill="1" applyBorder="1" applyAlignment="1" applyProtection="1">
      <alignment vertical="center"/>
      <protection locked="0"/>
    </xf>
    <xf numFmtId="0" fontId="0" fillId="6" borderId="2" xfId="0" applyFill="1" applyBorder="1" applyAlignment="1">
      <alignment horizontal="left" vertical="center"/>
    </xf>
    <xf numFmtId="0" fontId="13" fillId="5" borderId="0" xfId="0" applyFont="1" applyFill="1" applyAlignment="1">
      <alignment horizontal="right" vertical="center"/>
    </xf>
    <xf numFmtId="167" fontId="1" fillId="5" borderId="21" xfId="1" applyNumberFormat="1" applyFont="1" applyFill="1" applyBorder="1" applyAlignment="1" applyProtection="1">
      <alignment vertical="center"/>
    </xf>
    <xf numFmtId="0" fontId="11" fillId="0" borderId="52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2" fillId="5" borderId="8" xfId="1" applyFont="1" applyFill="1" applyBorder="1" applyAlignment="1" applyProtection="1">
      <alignment horizontal="center" vertical="center"/>
    </xf>
    <xf numFmtId="164" fontId="2" fillId="5" borderId="9" xfId="1" applyFont="1" applyFill="1" applyBorder="1" applyAlignment="1" applyProtection="1">
      <alignment horizontal="center" vertical="center"/>
    </xf>
    <xf numFmtId="166" fontId="0" fillId="5" borderId="10" xfId="1" applyNumberFormat="1" applyFont="1" applyFill="1" applyBorder="1" applyAlignment="1" applyProtection="1">
      <alignment vertical="center"/>
    </xf>
    <xf numFmtId="167" fontId="4" fillId="6" borderId="9" xfId="1" applyNumberFormat="1" applyFont="1" applyFill="1" applyBorder="1" applyAlignment="1" applyProtection="1">
      <alignment vertical="center"/>
    </xf>
    <xf numFmtId="167" fontId="4" fillId="7" borderId="10" xfId="1" applyNumberFormat="1" applyFont="1" applyFill="1" applyBorder="1" applyAlignment="1" applyProtection="1">
      <alignment vertical="center"/>
    </xf>
    <xf numFmtId="164" fontId="8" fillId="7" borderId="1" xfId="1" applyFont="1" applyFill="1" applyBorder="1" applyAlignment="1" applyProtection="1">
      <alignment horizontal="center" vertical="center"/>
    </xf>
    <xf numFmtId="0" fontId="8" fillId="5" borderId="10" xfId="1" applyNumberFormat="1" applyFont="1" applyFill="1" applyBorder="1" applyAlignment="1" applyProtection="1">
      <alignment horizontal="center" vertical="center"/>
    </xf>
    <xf numFmtId="164" fontId="0" fillId="5" borderId="7" xfId="1" applyFont="1" applyFill="1" applyBorder="1" applyAlignment="1" applyProtection="1">
      <alignment horizontal="center" vertical="center"/>
    </xf>
    <xf numFmtId="164" fontId="0" fillId="5" borderId="9" xfId="1" applyFont="1" applyFill="1" applyBorder="1" applyAlignment="1" applyProtection="1">
      <alignment horizontal="center" vertical="center"/>
    </xf>
    <xf numFmtId="2" fontId="0" fillId="2" borderId="2" xfId="1" applyNumberFormat="1" applyFont="1" applyFill="1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67" fontId="7" fillId="0" borderId="0" xfId="0" applyNumberFormat="1" applyFont="1"/>
    <xf numFmtId="10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67" fontId="4" fillId="7" borderId="37" xfId="1" applyNumberFormat="1" applyFont="1" applyFill="1" applyBorder="1" applyAlignment="1" applyProtection="1">
      <alignment vertical="center"/>
    </xf>
    <xf numFmtId="164" fontId="8" fillId="7" borderId="55" xfId="1" applyFont="1" applyFill="1" applyBorder="1" applyAlignment="1" applyProtection="1">
      <alignment horizontal="center" vertical="center"/>
    </xf>
    <xf numFmtId="0" fontId="8" fillId="5" borderId="37" xfId="1" applyNumberFormat="1" applyFont="1" applyFill="1" applyBorder="1" applyAlignment="1" applyProtection="1">
      <alignment horizontal="center" vertical="center"/>
    </xf>
    <xf numFmtId="167" fontId="0" fillId="3" borderId="42" xfId="0" applyNumberForma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164" fontId="1" fillId="3" borderId="21" xfId="1" applyFont="1" applyFill="1" applyBorder="1" applyAlignment="1" applyProtection="1">
      <alignment vertical="center"/>
    </xf>
    <xf numFmtId="164" fontId="1" fillId="3" borderId="21" xfId="1" applyFill="1" applyBorder="1" applyAlignment="1" applyProtection="1">
      <alignment vertical="center"/>
    </xf>
    <xf numFmtId="0" fontId="0" fillId="3" borderId="27" xfId="0" applyFill="1" applyBorder="1" applyAlignment="1">
      <alignment horizontal="left" vertical="center"/>
    </xf>
    <xf numFmtId="4" fontId="0" fillId="3" borderId="38" xfId="0" applyNumberFormat="1" applyFill="1" applyBorder="1" applyAlignment="1">
      <alignment vertical="center"/>
    </xf>
    <xf numFmtId="4" fontId="0" fillId="3" borderId="21" xfId="0" applyNumberFormat="1" applyFill="1" applyBorder="1" applyAlignment="1">
      <alignment vertical="center"/>
    </xf>
    <xf numFmtId="167" fontId="0" fillId="3" borderId="36" xfId="0" applyNumberFormat="1" applyFill="1" applyBorder="1" applyAlignment="1">
      <alignment vertical="center"/>
    </xf>
    <xf numFmtId="167" fontId="0" fillId="3" borderId="21" xfId="1" applyNumberFormat="1" applyFont="1" applyFill="1" applyBorder="1" applyAlignment="1" applyProtection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164" fontId="1" fillId="5" borderId="45" xfId="1" applyFill="1" applyBorder="1" applyProtection="1"/>
    <xf numFmtId="0" fontId="0" fillId="6" borderId="30" xfId="0" applyFill="1" applyBorder="1" applyAlignment="1">
      <alignment vertical="center"/>
    </xf>
    <xf numFmtId="169" fontId="1" fillId="6" borderId="42" xfId="1" applyNumberFormat="1" applyFill="1" applyBorder="1" applyProtection="1"/>
    <xf numFmtId="167" fontId="0" fillId="0" borderId="0" xfId="0" applyNumberFormat="1"/>
    <xf numFmtId="167" fontId="8" fillId="8" borderId="46" xfId="1" applyNumberFormat="1" applyFont="1" applyFill="1" applyBorder="1" applyAlignment="1" applyProtection="1">
      <alignment vertical="center"/>
    </xf>
    <xf numFmtId="164" fontId="8" fillId="8" borderId="1" xfId="1" applyFont="1" applyFill="1" applyBorder="1" applyAlignment="1" applyProtection="1">
      <alignment horizontal="center" vertical="center"/>
    </xf>
    <xf numFmtId="2" fontId="0" fillId="5" borderId="2" xfId="1" applyNumberFormat="1" applyFont="1" applyFill="1" applyBorder="1" applyAlignment="1" applyProtection="1">
      <alignment vertical="center"/>
      <protection locked="0"/>
    </xf>
    <xf numFmtId="14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vertical="center"/>
      <protection locked="0"/>
    </xf>
    <xf numFmtId="0" fontId="0" fillId="5" borderId="2" xfId="0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5" borderId="20" xfId="0" applyFill="1" applyBorder="1" applyAlignment="1">
      <alignment vertical="center"/>
    </xf>
    <xf numFmtId="0" fontId="0" fillId="5" borderId="34" xfId="0" applyFill="1" applyBorder="1" applyAlignment="1">
      <alignment vertical="center"/>
    </xf>
    <xf numFmtId="0" fontId="0" fillId="5" borderId="28" xfId="0" applyFill="1" applyBorder="1" applyAlignment="1">
      <alignment vertical="center"/>
    </xf>
    <xf numFmtId="168" fontId="0" fillId="5" borderId="21" xfId="0" applyNumberFormat="1" applyFill="1" applyBorder="1" applyAlignment="1">
      <alignment horizontal="right" vertical="center"/>
    </xf>
    <xf numFmtId="0" fontId="0" fillId="5" borderId="21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5" borderId="38" xfId="0" applyFill="1" applyBorder="1" applyAlignment="1">
      <alignment vertical="center"/>
    </xf>
    <xf numFmtId="0" fontId="20" fillId="5" borderId="0" xfId="0" applyFont="1" applyFill="1" applyAlignment="1">
      <alignment vertical="center"/>
    </xf>
    <xf numFmtId="168" fontId="0" fillId="5" borderId="0" xfId="0" applyNumberFormat="1" applyFill="1" applyAlignment="1">
      <alignment horizontal="right" vertical="center"/>
    </xf>
    <xf numFmtId="0" fontId="20" fillId="5" borderId="20" xfId="0" applyFont="1" applyFill="1" applyBorder="1" applyAlignment="1">
      <alignment vertical="center"/>
    </xf>
    <xf numFmtId="0" fontId="0" fillId="5" borderId="35" xfId="0" applyFill="1" applyBorder="1" applyAlignment="1">
      <alignment vertical="center"/>
    </xf>
    <xf numFmtId="0" fontId="0" fillId="5" borderId="36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3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vertical="center"/>
    </xf>
    <xf numFmtId="0" fontId="12" fillId="5" borderId="0" xfId="0" applyFont="1" applyFill="1" applyAlignment="1">
      <alignment vertical="center"/>
    </xf>
    <xf numFmtId="4" fontId="12" fillId="5" borderId="0" xfId="0" applyNumberFormat="1" applyFont="1" applyFill="1" applyAlignment="1">
      <alignment vertical="center"/>
    </xf>
    <xf numFmtId="0" fontId="12" fillId="5" borderId="28" xfId="0" applyFont="1" applyFill="1" applyBorder="1" applyAlignment="1">
      <alignment vertical="center"/>
    </xf>
    <xf numFmtId="166" fontId="12" fillId="5" borderId="5" xfId="0" applyNumberFormat="1" applyFont="1" applyFill="1" applyBorder="1" applyAlignment="1">
      <alignment vertical="center"/>
    </xf>
    <xf numFmtId="4" fontId="12" fillId="5" borderId="5" xfId="0" applyNumberFormat="1" applyFont="1" applyFill="1" applyBorder="1" applyAlignment="1">
      <alignment vertical="center"/>
    </xf>
    <xf numFmtId="0" fontId="12" fillId="5" borderId="20" xfId="0" applyFont="1" applyFill="1" applyBorder="1" applyAlignment="1">
      <alignment vertical="center"/>
    </xf>
    <xf numFmtId="0" fontId="12" fillId="5" borderId="5" xfId="0" applyFont="1" applyFill="1" applyBorder="1" applyAlignment="1">
      <alignment vertical="center"/>
    </xf>
    <xf numFmtId="0" fontId="12" fillId="5" borderId="28" xfId="0" applyFont="1" applyFill="1" applyBorder="1" applyAlignment="1">
      <alignment horizontal="right" vertical="center"/>
    </xf>
    <xf numFmtId="0" fontId="0" fillId="5" borderId="27" xfId="0" applyFill="1" applyBorder="1" applyAlignment="1">
      <alignment vertical="center"/>
    </xf>
    <xf numFmtId="0" fontId="13" fillId="5" borderId="21" xfId="0" applyFont="1" applyFill="1" applyBorder="1" applyAlignment="1">
      <alignment vertical="center"/>
    </xf>
    <xf numFmtId="166" fontId="11" fillId="5" borderId="37" xfId="0" applyNumberFormat="1" applyFont="1" applyFill="1" applyBorder="1" applyAlignment="1">
      <alignment vertical="center"/>
    </xf>
    <xf numFmtId="166" fontId="13" fillId="5" borderId="21" xfId="0" applyNumberFormat="1" applyFont="1" applyFill="1" applyBorder="1" applyAlignment="1">
      <alignment vertical="center"/>
    </xf>
    <xf numFmtId="0" fontId="0" fillId="5" borderId="43" xfId="0" applyFill="1" applyBorder="1" applyAlignment="1">
      <alignment vertical="center"/>
    </xf>
    <xf numFmtId="0" fontId="0" fillId="5" borderId="44" xfId="0" applyFill="1" applyBorder="1" applyAlignment="1">
      <alignment vertical="center"/>
    </xf>
    <xf numFmtId="0" fontId="0" fillId="10" borderId="34" xfId="0" applyFill="1" applyBorder="1" applyAlignment="1">
      <alignment vertical="center"/>
    </xf>
    <xf numFmtId="168" fontId="11" fillId="10" borderId="17" xfId="0" applyNumberFormat="1" applyFont="1" applyFill="1" applyBorder="1" applyAlignment="1">
      <alignment vertical="center"/>
    </xf>
    <xf numFmtId="0" fontId="20" fillId="10" borderId="0" xfId="0" applyFont="1" applyFill="1" applyAlignment="1">
      <alignment vertical="center"/>
    </xf>
    <xf numFmtId="0" fontId="12" fillId="10" borderId="20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vertical="center"/>
    </xf>
    <xf numFmtId="0" fontId="12" fillId="10" borderId="0" xfId="0" applyFont="1" applyFill="1" applyAlignment="1">
      <alignment vertical="center"/>
    </xf>
    <xf numFmtId="4" fontId="12" fillId="10" borderId="0" xfId="0" applyNumberFormat="1" applyFont="1" applyFill="1" applyAlignment="1">
      <alignment vertical="center"/>
    </xf>
    <xf numFmtId="0" fontId="12" fillId="10" borderId="28" xfId="0" applyFont="1" applyFill="1" applyBorder="1" applyAlignment="1">
      <alignment vertical="center"/>
    </xf>
    <xf numFmtId="166" fontId="12" fillId="10" borderId="5" xfId="0" applyNumberFormat="1" applyFont="1" applyFill="1" applyBorder="1" applyAlignment="1">
      <alignment vertical="center"/>
    </xf>
    <xf numFmtId="0" fontId="0" fillId="11" borderId="34" xfId="0" applyFill="1" applyBorder="1" applyAlignment="1">
      <alignment vertical="center"/>
    </xf>
    <xf numFmtId="168" fontId="11" fillId="11" borderId="17" xfId="0" applyNumberFormat="1" applyFont="1" applyFill="1" applyBorder="1" applyAlignment="1">
      <alignment vertical="center"/>
    </xf>
    <xf numFmtId="0" fontId="20" fillId="11" borderId="0" xfId="0" applyFont="1" applyFill="1" applyAlignment="1">
      <alignment vertical="center"/>
    </xf>
    <xf numFmtId="0" fontId="12" fillId="11" borderId="20" xfId="0" applyFont="1" applyFill="1" applyBorder="1" applyAlignment="1">
      <alignment horizontal="center" vertical="center"/>
    </xf>
    <xf numFmtId="0" fontId="12" fillId="11" borderId="27" xfId="0" applyFont="1" applyFill="1" applyBorder="1" applyAlignment="1">
      <alignment vertical="center"/>
    </xf>
    <xf numFmtId="0" fontId="12" fillId="11" borderId="0" xfId="0" applyFont="1" applyFill="1" applyAlignment="1">
      <alignment vertical="center"/>
    </xf>
    <xf numFmtId="4" fontId="12" fillId="11" borderId="0" xfId="0" applyNumberFormat="1" applyFont="1" applyFill="1" applyAlignment="1">
      <alignment vertical="center"/>
    </xf>
    <xf numFmtId="0" fontId="12" fillId="11" borderId="28" xfId="0" applyFont="1" applyFill="1" applyBorder="1" applyAlignment="1">
      <alignment vertical="center"/>
    </xf>
    <xf numFmtId="166" fontId="12" fillId="11" borderId="5" xfId="0" applyNumberFormat="1" applyFont="1" applyFill="1" applyBorder="1" applyAlignment="1">
      <alignment vertical="center"/>
    </xf>
    <xf numFmtId="0" fontId="0" fillId="10" borderId="20" xfId="0" applyFill="1" applyBorder="1" applyAlignment="1">
      <alignment vertical="center"/>
    </xf>
    <xf numFmtId="0" fontId="0" fillId="10" borderId="0" xfId="0" applyFill="1" applyAlignment="1">
      <alignment vertical="center"/>
    </xf>
    <xf numFmtId="0" fontId="13" fillId="10" borderId="20" xfId="0" applyFont="1" applyFill="1" applyBorder="1" applyAlignment="1">
      <alignment vertical="center"/>
    </xf>
    <xf numFmtId="168" fontId="13" fillId="10" borderId="5" xfId="0" applyNumberFormat="1" applyFont="1" applyFill="1" applyBorder="1" applyAlignment="1">
      <alignment vertical="center"/>
    </xf>
    <xf numFmtId="168" fontId="0" fillId="10" borderId="5" xfId="0" applyNumberFormat="1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0" fontId="0" fillId="11" borderId="20" xfId="0" applyFill="1" applyBorder="1" applyAlignment="1">
      <alignment vertical="center"/>
    </xf>
    <xf numFmtId="0" fontId="0" fillId="11" borderId="0" xfId="0" applyFill="1" applyAlignment="1">
      <alignment vertical="center"/>
    </xf>
    <xf numFmtId="0" fontId="0" fillId="11" borderId="28" xfId="0" applyFill="1" applyBorder="1" applyAlignment="1">
      <alignment vertical="center"/>
    </xf>
    <xf numFmtId="0" fontId="13" fillId="11" borderId="20" xfId="0" applyFont="1" applyFill="1" applyBorder="1" applyAlignment="1">
      <alignment vertical="center"/>
    </xf>
    <xf numFmtId="168" fontId="13" fillId="11" borderId="21" xfId="0" applyNumberFormat="1" applyFont="1" applyFill="1" applyBorder="1" applyAlignment="1">
      <alignment vertical="center"/>
    </xf>
    <xf numFmtId="168" fontId="0" fillId="11" borderId="21" xfId="0" applyNumberFormat="1" applyFill="1" applyBorder="1" applyAlignment="1">
      <alignment horizontal="right" vertical="center"/>
    </xf>
    <xf numFmtId="0" fontId="0" fillId="11" borderId="21" xfId="0" applyFill="1" applyBorder="1" applyAlignment="1">
      <alignment vertical="center"/>
    </xf>
    <xf numFmtId="0" fontId="2" fillId="5" borderId="59" xfId="0" applyFont="1" applyFill="1" applyBorder="1" applyAlignment="1">
      <alignment horizontal="center" vertical="center"/>
    </xf>
    <xf numFmtId="0" fontId="2" fillId="5" borderId="60" xfId="0" applyFont="1" applyFill="1" applyBorder="1" applyAlignment="1">
      <alignment horizontal="center" vertical="center"/>
    </xf>
    <xf numFmtId="169" fontId="2" fillId="5" borderId="60" xfId="0" applyNumberFormat="1" applyFont="1" applyFill="1" applyBorder="1" applyAlignment="1">
      <alignment horizontal="right" vertical="center"/>
    </xf>
    <xf numFmtId="164" fontId="2" fillId="5" borderId="60" xfId="1" applyFont="1" applyFill="1" applyBorder="1" applyAlignment="1" applyProtection="1">
      <alignment horizontal="center" vertical="center"/>
    </xf>
    <xf numFmtId="166" fontId="2" fillId="5" borderId="61" xfId="1" applyNumberFormat="1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164" fontId="2" fillId="12" borderId="2" xfId="1" applyFont="1" applyFill="1" applyBorder="1" applyAlignment="1" applyProtection="1">
      <alignment horizontal="center" vertical="center"/>
    </xf>
    <xf numFmtId="166" fontId="2" fillId="12" borderId="10" xfId="1" applyNumberFormat="1" applyFont="1" applyFill="1" applyBorder="1" applyAlignment="1" applyProtection="1">
      <alignment horizontal="center" vertical="center"/>
      <protection locked="0"/>
    </xf>
    <xf numFmtId="164" fontId="2" fillId="12" borderId="57" xfId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5" borderId="0" xfId="0" applyFill="1" applyAlignment="1">
      <alignment horizontal="center" vertical="center"/>
    </xf>
    <xf numFmtId="164" fontId="1" fillId="5" borderId="0" xfId="1" applyFill="1" applyAlignment="1" applyProtection="1">
      <alignment vertical="center"/>
    </xf>
    <xf numFmtId="0" fontId="23" fillId="5" borderId="0" xfId="0" applyFont="1" applyFill="1" applyAlignment="1">
      <alignment horizontal="right" vertical="center"/>
    </xf>
    <xf numFmtId="171" fontId="23" fillId="5" borderId="35" xfId="0" applyNumberFormat="1" applyFont="1" applyFill="1" applyBorder="1" applyAlignment="1">
      <alignment horizontal="center" vertical="center"/>
    </xf>
    <xf numFmtId="170" fontId="23" fillId="5" borderId="35" xfId="0" applyNumberFormat="1" applyFont="1" applyFill="1" applyBorder="1" applyAlignment="1">
      <alignment horizontal="left" vertical="center"/>
    </xf>
    <xf numFmtId="4" fontId="0" fillId="0" borderId="2" xfId="1" applyNumberFormat="1" applyFont="1" applyFill="1" applyBorder="1" applyAlignment="1" applyProtection="1">
      <alignment vertical="center"/>
      <protection locked="0"/>
    </xf>
    <xf numFmtId="4" fontId="0" fillId="2" borderId="2" xfId="1" applyNumberFormat="1" applyFont="1" applyFill="1" applyBorder="1" applyAlignment="1" applyProtection="1">
      <alignment vertical="center"/>
      <protection locked="0"/>
    </xf>
    <xf numFmtId="17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4" fontId="0" fillId="0" borderId="4" xfId="1" applyNumberFormat="1" applyFont="1" applyFill="1" applyBorder="1" applyAlignment="1" applyProtection="1">
      <alignment vertical="center"/>
      <protection locked="0"/>
    </xf>
    <xf numFmtId="4" fontId="0" fillId="2" borderId="4" xfId="1" applyNumberFormat="1" applyFont="1" applyFill="1" applyBorder="1" applyAlignment="1" applyProtection="1">
      <alignment vertical="center"/>
      <protection locked="0"/>
    </xf>
    <xf numFmtId="172" fontId="0" fillId="2" borderId="55" xfId="0" applyNumberFormat="1" applyFill="1" applyBorder="1" applyAlignment="1" applyProtection="1">
      <alignment horizontal="center" vertical="center"/>
      <protection locked="0"/>
    </xf>
    <xf numFmtId="164" fontId="2" fillId="5" borderId="0" xfId="1" applyFont="1" applyFill="1" applyBorder="1" applyAlignment="1" applyProtection="1">
      <alignment vertical="center"/>
    </xf>
    <xf numFmtId="167" fontId="7" fillId="0" borderId="0" xfId="0" applyNumberFormat="1" applyFont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5" fontId="3" fillId="5" borderId="0" xfId="1" applyNumberFormat="1" applyFont="1" applyFill="1" applyBorder="1" applyAlignment="1" applyProtection="1">
      <alignment vertical="center"/>
    </xf>
    <xf numFmtId="165" fontId="8" fillId="5" borderId="0" xfId="1" applyNumberFormat="1" applyFont="1" applyFill="1" applyBorder="1" applyAlignment="1" applyProtection="1">
      <alignment vertical="center"/>
    </xf>
    <xf numFmtId="0" fontId="8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4" fontId="0" fillId="5" borderId="0" xfId="0" applyNumberFormat="1" applyFill="1" applyAlignment="1">
      <alignment vertical="center"/>
    </xf>
    <xf numFmtId="0" fontId="0" fillId="5" borderId="35" xfId="0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1" fillId="5" borderId="35" xfId="1" applyNumberFormat="1" applyFont="1" applyFill="1" applyBorder="1" applyAlignment="1" applyProtection="1">
      <alignment vertical="center"/>
    </xf>
    <xf numFmtId="164" fontId="1" fillId="5" borderId="35" xfId="1" applyFill="1" applyBorder="1" applyAlignment="1" applyProtection="1">
      <alignment vertical="center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164" fontId="2" fillId="5" borderId="19" xfId="1" applyFont="1" applyFill="1" applyBorder="1" applyAlignment="1" applyProtection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164" fontId="1" fillId="5" borderId="0" xfId="1" applyFill="1" applyBorder="1" applyAlignment="1" applyProtection="1">
      <alignment vertical="center"/>
    </xf>
    <xf numFmtId="164" fontId="1" fillId="5" borderId="21" xfId="1" applyFill="1" applyBorder="1" applyAlignment="1" applyProtection="1">
      <alignment vertical="center"/>
    </xf>
    <xf numFmtId="0" fontId="0" fillId="5" borderId="20" xfId="0" applyFill="1" applyBorder="1" applyAlignment="1">
      <alignment horizontal="center" vertical="center"/>
    </xf>
    <xf numFmtId="0" fontId="13" fillId="5" borderId="0" xfId="0" applyFont="1" applyFill="1" applyAlignment="1">
      <alignment vertical="center"/>
    </xf>
    <xf numFmtId="4" fontId="1" fillId="5" borderId="21" xfId="1" applyNumberFormat="1" applyFont="1" applyFill="1" applyBorder="1" applyAlignment="1" applyProtection="1">
      <alignment vertical="center"/>
    </xf>
    <xf numFmtId="4" fontId="1" fillId="5" borderId="21" xfId="1" applyNumberFormat="1" applyFill="1" applyBorder="1" applyAlignment="1" applyProtection="1">
      <alignment vertical="center"/>
    </xf>
    <xf numFmtId="0" fontId="2" fillId="5" borderId="0" xfId="0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0" fillId="5" borderId="34" xfId="0" applyFill="1" applyBorder="1" applyAlignment="1">
      <alignment horizontal="center" vertical="center"/>
    </xf>
    <xf numFmtId="0" fontId="2" fillId="5" borderId="35" xfId="0" applyFont="1" applyFill="1" applyBorder="1" applyAlignment="1">
      <alignment vertical="center"/>
    </xf>
    <xf numFmtId="4" fontId="2" fillId="5" borderId="36" xfId="1" applyNumberFormat="1" applyFont="1" applyFill="1" applyBorder="1" applyAlignment="1" applyProtection="1">
      <alignment vertical="center"/>
    </xf>
    <xf numFmtId="0" fontId="0" fillId="0" borderId="19" xfId="0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164" fontId="1" fillId="0" borderId="19" xfId="1" applyFill="1" applyBorder="1" applyAlignment="1" applyProtection="1">
      <alignment vertical="center"/>
    </xf>
    <xf numFmtId="4" fontId="2" fillId="0" borderId="19" xfId="1" applyNumberFormat="1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164" fontId="1" fillId="0" borderId="0" xfId="1" applyFill="1" applyBorder="1" applyAlignment="1" applyProtection="1">
      <alignment vertical="center"/>
    </xf>
    <xf numFmtId="4" fontId="2" fillId="0" borderId="0" xfId="1" applyNumberFormat="1" applyFont="1" applyFill="1" applyBorder="1" applyAlignment="1" applyProtection="1">
      <alignment vertical="center"/>
    </xf>
    <xf numFmtId="0" fontId="13" fillId="5" borderId="23" xfId="0" applyFont="1" applyFill="1" applyBorder="1" applyAlignment="1">
      <alignment vertical="center"/>
    </xf>
    <xf numFmtId="0" fontId="13" fillId="5" borderId="3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5" borderId="20" xfId="0" applyFont="1" applyFill="1" applyBorder="1" applyAlignment="1">
      <alignment horizontal="center" vertical="center"/>
    </xf>
    <xf numFmtId="164" fontId="1" fillId="5" borderId="36" xfId="1" applyFill="1" applyBorder="1" applyAlignment="1" applyProtection="1">
      <alignment vertical="center"/>
    </xf>
    <xf numFmtId="164" fontId="1" fillId="0" borderId="0" xfId="1" applyFill="1" applyAlignment="1" applyProtection="1">
      <alignment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vertical="center"/>
    </xf>
    <xf numFmtId="0" fontId="0" fillId="3" borderId="38" xfId="0" applyFill="1" applyBorder="1" applyAlignment="1">
      <alignment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167" fontId="2" fillId="3" borderId="0" xfId="1" applyNumberFormat="1" applyFont="1" applyFill="1" applyBorder="1" applyAlignment="1" applyProtection="1">
      <alignment horizontal="center" vertical="center"/>
    </xf>
    <xf numFmtId="165" fontId="2" fillId="3" borderId="21" xfId="1" applyNumberFormat="1" applyFont="1" applyFill="1" applyBorder="1" applyAlignment="1" applyProtection="1">
      <alignment horizontal="center" vertical="center"/>
    </xf>
    <xf numFmtId="4" fontId="2" fillId="3" borderId="0" xfId="1" applyNumberFormat="1" applyFont="1" applyFill="1" applyBorder="1" applyAlignment="1" applyProtection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vertical="center"/>
    </xf>
    <xf numFmtId="164" fontId="1" fillId="3" borderId="35" xfId="1" applyFill="1" applyBorder="1" applyAlignment="1" applyProtection="1">
      <alignment vertical="center"/>
    </xf>
    <xf numFmtId="164" fontId="1" fillId="3" borderId="36" xfId="1" applyFill="1" applyBorder="1" applyAlignment="1" applyProtection="1">
      <alignment vertical="center"/>
    </xf>
    <xf numFmtId="0" fontId="0" fillId="0" borderId="19" xfId="0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164" fontId="2" fillId="5" borderId="62" xfId="1" applyFont="1" applyFill="1" applyBorder="1" applyAlignment="1" applyProtection="1">
      <alignment horizontal="center" vertical="center"/>
    </xf>
    <xf numFmtId="164" fontId="2" fillId="5" borderId="63" xfId="1" applyFont="1" applyFill="1" applyBorder="1" applyAlignment="1" applyProtection="1">
      <alignment horizontal="center" vertical="center"/>
    </xf>
    <xf numFmtId="0" fontId="7" fillId="0" borderId="64" xfId="0" applyFont="1" applyBorder="1" applyAlignment="1">
      <alignment vertical="center"/>
    </xf>
    <xf numFmtId="0" fontId="7" fillId="0" borderId="65" xfId="0" applyFont="1" applyBorder="1" applyAlignment="1">
      <alignment vertical="center"/>
    </xf>
    <xf numFmtId="173" fontId="7" fillId="0" borderId="64" xfId="0" applyNumberFormat="1" applyFont="1" applyBorder="1" applyAlignment="1">
      <alignment vertical="center"/>
    </xf>
    <xf numFmtId="173" fontId="7" fillId="0" borderId="65" xfId="0" applyNumberFormat="1" applyFont="1" applyBorder="1" applyAlignment="1">
      <alignment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 wrapText="1"/>
    </xf>
    <xf numFmtId="174" fontId="7" fillId="0" borderId="65" xfId="0" applyNumberFormat="1" applyFont="1" applyBorder="1" applyAlignment="1">
      <alignment vertical="center"/>
    </xf>
    <xf numFmtId="173" fontId="0" fillId="0" borderId="0" xfId="0" applyNumberFormat="1" applyAlignment="1">
      <alignment vertical="center"/>
    </xf>
    <xf numFmtId="175" fontId="7" fillId="0" borderId="0" xfId="0" applyNumberFormat="1" applyFont="1" applyAlignment="1">
      <alignment vertical="center"/>
    </xf>
    <xf numFmtId="172" fontId="0" fillId="0" borderId="1" xfId="0" applyNumberFormat="1" applyBorder="1" applyAlignment="1" applyProtection="1">
      <alignment horizontal="center" vertical="center"/>
      <protection locked="0"/>
    </xf>
    <xf numFmtId="173" fontId="7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172" fontId="0" fillId="13" borderId="1" xfId="0" applyNumberFormat="1" applyFill="1" applyBorder="1" applyAlignment="1" applyProtection="1">
      <alignment horizontal="center" vertical="center"/>
      <protection locked="0"/>
    </xf>
    <xf numFmtId="0" fontId="0" fillId="13" borderId="2" xfId="0" applyFill="1" applyBorder="1" applyAlignment="1" applyProtection="1">
      <alignment horizontal="center" vertical="center"/>
      <protection locked="0"/>
    </xf>
    <xf numFmtId="0" fontId="0" fillId="13" borderId="2" xfId="0" applyFill="1" applyBorder="1" applyAlignment="1" applyProtection="1">
      <alignment vertical="center"/>
      <protection locked="0"/>
    </xf>
    <xf numFmtId="0" fontId="24" fillId="0" borderId="0" xfId="0" applyFont="1" applyAlignment="1">
      <alignment horizontal="right" vertical="center"/>
    </xf>
    <xf numFmtId="173" fontId="24" fillId="0" borderId="0" xfId="0" applyNumberFormat="1" applyFont="1" applyAlignment="1">
      <alignment vertical="center"/>
    </xf>
    <xf numFmtId="164" fontId="2" fillId="5" borderId="53" xfId="1" applyFont="1" applyFill="1" applyBorder="1" applyAlignment="1" applyProtection="1">
      <alignment horizontal="center" vertical="center" wrapText="1"/>
    </xf>
    <xf numFmtId="164" fontId="2" fillId="5" borderId="54" xfId="1" applyFont="1" applyFill="1" applyBorder="1" applyAlignment="1" applyProtection="1">
      <alignment horizontal="center" vertical="center" wrapText="1"/>
    </xf>
    <xf numFmtId="0" fontId="14" fillId="5" borderId="45" xfId="1" applyNumberFormat="1" applyFont="1" applyFill="1" applyBorder="1" applyAlignment="1" applyProtection="1">
      <alignment horizontal="center" vertical="center"/>
    </xf>
    <xf numFmtId="0" fontId="14" fillId="5" borderId="14" xfId="1" applyNumberFormat="1" applyFont="1" applyFill="1" applyBorder="1" applyAlignment="1" applyProtection="1">
      <alignment horizontal="center" vertical="center"/>
    </xf>
    <xf numFmtId="0" fontId="2" fillId="6" borderId="11" xfId="0" applyFont="1" applyFill="1" applyBorder="1" applyAlignment="1">
      <alignment horizontal="right" vertical="center"/>
    </xf>
    <xf numFmtId="0" fontId="2" fillId="6" borderId="12" xfId="0" applyFont="1" applyFill="1" applyBorder="1" applyAlignment="1">
      <alignment horizontal="right" vertical="center"/>
    </xf>
    <xf numFmtId="0" fontId="2" fillId="7" borderId="13" xfId="0" applyFont="1" applyFill="1" applyBorder="1" applyAlignment="1">
      <alignment horizontal="right" vertical="center"/>
    </xf>
    <xf numFmtId="0" fontId="2" fillId="7" borderId="14" xfId="0" applyFont="1" applyFill="1" applyBorder="1" applyAlignment="1">
      <alignment horizontal="right" vertical="center"/>
    </xf>
    <xf numFmtId="0" fontId="2" fillId="5" borderId="15" xfId="0" applyFont="1" applyFill="1" applyBorder="1" applyAlignment="1">
      <alignment horizontal="right" vertical="center"/>
    </xf>
    <xf numFmtId="0" fontId="2" fillId="5" borderId="16" xfId="0" applyFont="1" applyFill="1" applyBorder="1" applyAlignment="1">
      <alignment horizontal="right" vertical="center"/>
    </xf>
    <xf numFmtId="0" fontId="14" fillId="9" borderId="6" xfId="0" applyFont="1" applyFill="1" applyBorder="1" applyAlignment="1">
      <alignment horizontal="center" vertical="center"/>
    </xf>
    <xf numFmtId="0" fontId="14" fillId="9" borderId="45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4" fontId="7" fillId="0" borderId="66" xfId="0" applyNumberFormat="1" applyFont="1" applyBorder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6" fillId="3" borderId="47" xfId="0" applyFont="1" applyFill="1" applyBorder="1" applyAlignment="1">
      <alignment horizontal="right" vertical="center"/>
    </xf>
    <xf numFmtId="0" fontId="16" fillId="3" borderId="48" xfId="0" applyFont="1" applyFill="1" applyBorder="1" applyAlignment="1">
      <alignment horizontal="right" vertical="center"/>
    </xf>
    <xf numFmtId="0" fontId="13" fillId="3" borderId="47" xfId="0" applyFont="1" applyFill="1" applyBorder="1" applyAlignment="1">
      <alignment horizontal="right" vertical="center"/>
    </xf>
    <xf numFmtId="0" fontId="13" fillId="3" borderId="48" xfId="0" applyFont="1" applyFill="1" applyBorder="1" applyAlignment="1">
      <alignment horizontal="right" vertical="center"/>
    </xf>
    <xf numFmtId="0" fontId="12" fillId="3" borderId="45" xfId="1" applyNumberFormat="1" applyFont="1" applyFill="1" applyBorder="1" applyAlignment="1" applyProtection="1">
      <alignment horizontal="center" vertical="center"/>
    </xf>
    <xf numFmtId="0" fontId="12" fillId="3" borderId="14" xfId="1" applyNumberFormat="1" applyFont="1" applyFill="1" applyBorder="1" applyAlignment="1" applyProtection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18" fillId="11" borderId="19" xfId="0" applyFont="1" applyFill="1" applyBorder="1" applyAlignment="1">
      <alignment horizontal="center" vertical="center"/>
    </xf>
    <xf numFmtId="0" fontId="18" fillId="11" borderId="38" xfId="0" applyFont="1" applyFill="1" applyBorder="1" applyAlignment="1">
      <alignment horizontal="center" vertical="center"/>
    </xf>
    <xf numFmtId="0" fontId="11" fillId="11" borderId="35" xfId="0" applyFont="1" applyFill="1" applyBorder="1" applyAlignment="1">
      <alignment horizontal="right" vertical="center"/>
    </xf>
    <xf numFmtId="0" fontId="11" fillId="11" borderId="44" xfId="0" applyFont="1" applyFill="1" applyBorder="1" applyAlignment="1">
      <alignment horizontal="right" vertical="center"/>
    </xf>
    <xf numFmtId="0" fontId="11" fillId="10" borderId="35" xfId="0" applyFont="1" applyFill="1" applyBorder="1" applyAlignment="1">
      <alignment horizontal="right" vertical="center"/>
    </xf>
    <xf numFmtId="0" fontId="11" fillId="10" borderId="44" xfId="0" applyFont="1" applyFill="1" applyBorder="1" applyAlignment="1">
      <alignment horizontal="right" vertical="center"/>
    </xf>
    <xf numFmtId="0" fontId="18" fillId="10" borderId="18" xfId="0" applyFont="1" applyFill="1" applyBorder="1" applyAlignment="1">
      <alignment horizontal="center" vertical="center"/>
    </xf>
    <xf numFmtId="0" fontId="18" fillId="10" borderId="19" xfId="0" applyFont="1" applyFill="1" applyBorder="1" applyAlignment="1">
      <alignment horizontal="center" vertical="center"/>
    </xf>
    <xf numFmtId="0" fontId="18" fillId="10" borderId="38" xfId="0" applyFont="1" applyFill="1" applyBorder="1" applyAlignment="1">
      <alignment horizontal="center" vertical="center"/>
    </xf>
    <xf numFmtId="0" fontId="19" fillId="5" borderId="58" xfId="0" applyFont="1" applyFill="1" applyBorder="1" applyAlignment="1">
      <alignment horizontal="center" vertical="center"/>
    </xf>
    <xf numFmtId="0" fontId="19" fillId="5" borderId="40" xfId="0" applyFont="1" applyFill="1" applyBorder="1" applyAlignment="1">
      <alignment horizontal="center" vertical="center"/>
    </xf>
    <xf numFmtId="0" fontId="19" fillId="5" borderId="41" xfId="0" applyFont="1" applyFill="1" applyBorder="1" applyAlignment="1">
      <alignment horizontal="center" vertical="center"/>
    </xf>
    <xf numFmtId="0" fontId="19" fillId="5" borderId="39" xfId="0" applyFont="1" applyFill="1" applyBorder="1" applyAlignment="1">
      <alignment horizontal="right" vertical="center"/>
    </xf>
    <xf numFmtId="0" fontId="19" fillId="5" borderId="40" xfId="0" applyFont="1" applyFill="1" applyBorder="1" applyAlignment="1">
      <alignment horizontal="right" vertical="center"/>
    </xf>
    <xf numFmtId="0" fontId="19" fillId="9" borderId="40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right" vertical="center"/>
    </xf>
    <xf numFmtId="0" fontId="13" fillId="5" borderId="28" xfId="0" applyFont="1" applyFill="1" applyBorder="1" applyAlignment="1">
      <alignment horizontal="right" vertical="center"/>
    </xf>
    <xf numFmtId="0" fontId="19" fillId="5" borderId="0" xfId="0" applyFont="1" applyFill="1" applyAlignment="1">
      <alignment horizontal="center" vertical="center"/>
    </xf>
    <xf numFmtId="0" fontId="17" fillId="5" borderId="39" xfId="0" applyFont="1" applyFill="1" applyBorder="1" applyAlignment="1">
      <alignment horizontal="center" vertical="center"/>
    </xf>
    <xf numFmtId="0" fontId="17" fillId="5" borderId="40" xfId="0" applyFont="1" applyFill="1" applyBorder="1" applyAlignment="1">
      <alignment horizontal="center" vertical="center"/>
    </xf>
    <xf numFmtId="0" fontId="17" fillId="5" borderId="41" xfId="0" applyFont="1" applyFill="1" applyBorder="1" applyAlignment="1">
      <alignment horizontal="center" vertical="center"/>
    </xf>
    <xf numFmtId="168" fontId="20" fillId="10" borderId="0" xfId="0" applyNumberFormat="1" applyFont="1" applyFill="1" applyAlignment="1">
      <alignment horizontal="right" vertical="center"/>
    </xf>
    <xf numFmtId="168" fontId="20" fillId="10" borderId="21" xfId="0" applyNumberFormat="1" applyFont="1" applyFill="1" applyBorder="1" applyAlignment="1">
      <alignment horizontal="right" vertical="center"/>
    </xf>
    <xf numFmtId="168" fontId="20" fillId="11" borderId="0" xfId="0" applyNumberFormat="1" applyFont="1" applyFill="1" applyAlignment="1">
      <alignment horizontal="right" vertical="center"/>
    </xf>
    <xf numFmtId="168" fontId="20" fillId="11" borderId="21" xfId="0" applyNumberFormat="1" applyFont="1" applyFill="1" applyBorder="1" applyAlignment="1">
      <alignment horizontal="right" vertical="center"/>
    </xf>
    <xf numFmtId="168" fontId="20" fillId="5" borderId="0" xfId="0" applyNumberFormat="1" applyFont="1" applyFill="1" applyAlignment="1">
      <alignment horizontal="right" vertical="center"/>
    </xf>
    <xf numFmtId="168" fontId="20" fillId="5" borderId="21" xfId="0" applyNumberFormat="1" applyFont="1" applyFill="1" applyBorder="1" applyAlignment="1">
      <alignment horizontal="right" vertical="center"/>
    </xf>
    <xf numFmtId="0" fontId="14" fillId="5" borderId="27" xfId="0" applyFont="1" applyFill="1" applyBorder="1" applyAlignment="1">
      <alignment horizontal="right" vertical="center"/>
    </xf>
    <xf numFmtId="0" fontId="14" fillId="5" borderId="0" xfId="0" applyFont="1" applyFill="1" applyAlignment="1">
      <alignment horizontal="right" vertical="center"/>
    </xf>
    <xf numFmtId="0" fontId="14" fillId="5" borderId="28" xfId="0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right" vertical="center"/>
    </xf>
    <xf numFmtId="0" fontId="13" fillId="3" borderId="56" xfId="0" applyFont="1" applyFill="1" applyBorder="1" applyAlignment="1">
      <alignment horizontal="right" vertical="center"/>
    </xf>
  </cellXfs>
  <cellStyles count="328">
    <cellStyle name="Euro" xfId="1" xr:uid="{00000000-0005-0000-0000-000000000000}"/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" xfId="132" builtinId="8" hidden="1"/>
    <cellStyle name="Lien hypertexte" xfId="134" builtinId="8" hidden="1"/>
    <cellStyle name="Lien hypertexte" xfId="136" builtinId="8" hidden="1"/>
    <cellStyle name="Lien hypertexte" xfId="138" builtinId="8" hidden="1"/>
    <cellStyle name="Lien hypertexte" xfId="140" builtinId="8" hidden="1"/>
    <cellStyle name="Lien hypertexte" xfId="142" builtinId="8" hidden="1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" xfId="162" builtinId="8" hidden="1"/>
    <cellStyle name="Lien hypertexte" xfId="164" builtinId="8" hidden="1"/>
    <cellStyle name="Lien hypertexte" xfId="166" builtinId="8" hidden="1"/>
    <cellStyle name="Lien hypertexte" xfId="168" builtinId="8" hidden="1"/>
    <cellStyle name="Lien hypertexte" xfId="170" builtinId="8" hidden="1"/>
    <cellStyle name="Lien hypertexte" xfId="172" builtinId="8" hidden="1"/>
    <cellStyle name="Lien hypertexte" xfId="174" builtinId="8" hidden="1"/>
    <cellStyle name="Lien hypertexte" xfId="176" builtinId="8" hidden="1"/>
    <cellStyle name="Lien hypertexte" xfId="178" builtinId="8" hidden="1"/>
    <cellStyle name="Lien hypertexte" xfId="180" builtinId="8" hidden="1"/>
    <cellStyle name="Lien hypertexte" xfId="182" builtinId="8" hidden="1"/>
    <cellStyle name="Lien hypertexte" xfId="184" builtinId="8" hidden="1"/>
    <cellStyle name="Lien hypertexte" xfId="186" builtinId="8" hidden="1"/>
    <cellStyle name="Lien hypertexte" xfId="188" builtinId="8" hidden="1"/>
    <cellStyle name="Lien hypertexte" xfId="190" builtinId="8" hidden="1"/>
    <cellStyle name="Lien hypertexte" xfId="192" builtinId="8" hidden="1"/>
    <cellStyle name="Lien hypertexte" xfId="194" builtinId="8" hidden="1"/>
    <cellStyle name="Lien hypertexte" xfId="196" builtinId="8" hidden="1"/>
    <cellStyle name="Lien hypertexte" xfId="198" builtinId="8" hidden="1"/>
    <cellStyle name="Lien hypertexte" xfId="200" builtinId="8" hidden="1"/>
    <cellStyle name="Lien hypertexte" xfId="202" builtinId="8" hidden="1"/>
    <cellStyle name="Lien hypertexte" xfId="204" builtinId="8" hidden="1"/>
    <cellStyle name="Lien hypertexte" xfId="206" builtinId="8" hidden="1"/>
    <cellStyle name="Lien hypertexte" xfId="208" builtinId="8" hidden="1"/>
    <cellStyle name="Lien hypertexte" xfId="210" builtinId="8" hidden="1"/>
    <cellStyle name="Lien hypertexte" xfId="212" builtinId="8" hidden="1"/>
    <cellStyle name="Lien hypertexte" xfId="214" builtinId="8" hidden="1"/>
    <cellStyle name="Lien hypertexte" xfId="216" builtinId="8" hidden="1"/>
    <cellStyle name="Lien hypertexte" xfId="218" builtinId="8" hidden="1"/>
    <cellStyle name="Lien hypertexte" xfId="220" builtinId="8" hidden="1"/>
    <cellStyle name="Lien hypertexte" xfId="222" builtinId="8" hidden="1"/>
    <cellStyle name="Lien hypertexte" xfId="224" builtinId="8" hidden="1"/>
    <cellStyle name="Lien hypertexte" xfId="226" builtinId="8" hidden="1"/>
    <cellStyle name="Lien hypertexte" xfId="228" builtinId="8" hidden="1"/>
    <cellStyle name="Lien hypertexte" xfId="230" builtinId="8" hidden="1"/>
    <cellStyle name="Lien hypertexte" xfId="232" builtinId="8" hidden="1"/>
    <cellStyle name="Lien hypertexte" xfId="234" builtinId="8" hidden="1"/>
    <cellStyle name="Lien hypertexte" xfId="236" builtinId="8" hidden="1"/>
    <cellStyle name="Lien hypertexte" xfId="238" builtinId="8" hidden="1"/>
    <cellStyle name="Lien hypertexte" xfId="240" builtinId="8" hidden="1"/>
    <cellStyle name="Lien hypertexte" xfId="242" builtinId="8" hidden="1"/>
    <cellStyle name="Lien hypertexte" xfId="244" builtinId="8" hidden="1"/>
    <cellStyle name="Lien hypertexte" xfId="246" builtinId="8" hidden="1"/>
    <cellStyle name="Lien hypertexte" xfId="248" builtinId="8" hidden="1"/>
    <cellStyle name="Lien hypertexte" xfId="250" builtinId="8" hidden="1"/>
    <cellStyle name="Lien hypertexte" xfId="252" builtinId="8" hidden="1"/>
    <cellStyle name="Lien hypertexte" xfId="254" builtinId="8" hidden="1"/>
    <cellStyle name="Lien hypertexte" xfId="256" builtinId="8" hidden="1"/>
    <cellStyle name="Lien hypertexte" xfId="258" builtinId="8" hidden="1"/>
    <cellStyle name="Lien hypertexte" xfId="260" builtinId="8" hidden="1"/>
    <cellStyle name="Lien hypertexte" xfId="262" builtinId="8" hidden="1"/>
    <cellStyle name="Lien hypertexte" xfId="264" builtinId="8" hidden="1"/>
    <cellStyle name="Lien hypertexte" xfId="266" builtinId="8" hidden="1"/>
    <cellStyle name="Lien hypertexte" xfId="268" builtinId="8" hidden="1"/>
    <cellStyle name="Lien hypertexte" xfId="270" builtinId="8" hidden="1"/>
    <cellStyle name="Lien hypertexte" xfId="272" builtinId="8" hidden="1"/>
    <cellStyle name="Lien hypertexte" xfId="274" builtinId="8" hidden="1"/>
    <cellStyle name="Lien hypertexte" xfId="276" builtinId="8" hidden="1"/>
    <cellStyle name="Lien hypertexte" xfId="278" builtinId="8" hidden="1"/>
    <cellStyle name="Lien hypertexte" xfId="280" builtinId="8" hidden="1"/>
    <cellStyle name="Lien hypertexte" xfId="282" builtinId="8" hidden="1"/>
    <cellStyle name="Lien hypertexte" xfId="284" builtinId="8" hidden="1"/>
    <cellStyle name="Lien hypertexte" xfId="286" builtinId="8" hidden="1"/>
    <cellStyle name="Lien hypertexte" xfId="288" builtinId="8" hidden="1"/>
    <cellStyle name="Lien hypertexte" xfId="290" builtinId="8" hidden="1"/>
    <cellStyle name="Lien hypertexte" xfId="292" builtinId="8" hidden="1"/>
    <cellStyle name="Lien hypertexte" xfId="294" builtinId="8" hidden="1"/>
    <cellStyle name="Lien hypertexte" xfId="296" builtinId="8" hidden="1"/>
    <cellStyle name="Lien hypertexte" xfId="298" builtinId="8" hidden="1"/>
    <cellStyle name="Lien hypertexte" xfId="300" builtinId="8" hidden="1"/>
    <cellStyle name="Lien hypertexte" xfId="302" builtinId="8" hidden="1"/>
    <cellStyle name="Lien hypertexte" xfId="304" builtinId="8" hidden="1"/>
    <cellStyle name="Lien hypertexte" xfId="306" builtinId="8" hidden="1"/>
    <cellStyle name="Lien hypertexte" xfId="308" builtinId="8" hidden="1"/>
    <cellStyle name="Lien hypertexte" xfId="310" builtinId="8" hidden="1"/>
    <cellStyle name="Lien hypertexte" xfId="312" builtinId="8" hidden="1"/>
    <cellStyle name="Lien hypertexte" xfId="314" builtinId="8" hidden="1"/>
    <cellStyle name="Lien hypertexte" xfId="316" builtinId="8" hidden="1"/>
    <cellStyle name="Lien hypertexte" xfId="318" builtinId="8" hidden="1"/>
    <cellStyle name="Lien hypertexte" xfId="320" builtinId="8" hidden="1"/>
    <cellStyle name="Lien hypertexte" xfId="322" builtinId="8" hidden="1"/>
    <cellStyle name="Lien hypertexte" xfId="324" builtinId="8" hidden="1"/>
    <cellStyle name="Lien hypertexte" xfId="326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Lien hypertexte visité" xfId="133" builtinId="9" hidden="1"/>
    <cellStyle name="Lien hypertexte visité" xfId="135" builtinId="9" hidden="1"/>
    <cellStyle name="Lien hypertexte visité" xfId="137" builtinId="9" hidden="1"/>
    <cellStyle name="Lien hypertexte visité" xfId="139" builtinId="9" hidden="1"/>
    <cellStyle name="Lien hypertexte visité" xfId="141" builtinId="9" hidden="1"/>
    <cellStyle name="Lien hypertexte visité" xfId="143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Lien hypertexte visité" xfId="163" builtinId="9" hidden="1"/>
    <cellStyle name="Lien hypertexte visité" xfId="165" builtinId="9" hidden="1"/>
    <cellStyle name="Lien hypertexte visité" xfId="167" builtinId="9" hidden="1"/>
    <cellStyle name="Lien hypertexte visité" xfId="169" builtinId="9" hidden="1"/>
    <cellStyle name="Lien hypertexte visité" xfId="171" builtinId="9" hidden="1"/>
    <cellStyle name="Lien hypertexte visité" xfId="173" builtinId="9" hidden="1"/>
    <cellStyle name="Lien hypertexte visité" xfId="175" builtinId="9" hidden="1"/>
    <cellStyle name="Lien hypertexte visité" xfId="177" builtinId="9" hidden="1"/>
    <cellStyle name="Lien hypertexte visité" xfId="179" builtinId="9" hidden="1"/>
    <cellStyle name="Lien hypertexte visité" xfId="181" builtinId="9" hidden="1"/>
    <cellStyle name="Lien hypertexte visité" xfId="183" builtinId="9" hidden="1"/>
    <cellStyle name="Lien hypertexte visité" xfId="185" builtinId="9" hidden="1"/>
    <cellStyle name="Lien hypertexte visité" xfId="187" builtinId="9" hidden="1"/>
    <cellStyle name="Lien hypertexte visité" xfId="189" builtinId="9" hidden="1"/>
    <cellStyle name="Lien hypertexte visité" xfId="191" builtinId="9" hidden="1"/>
    <cellStyle name="Lien hypertexte visité" xfId="193" builtinId="9" hidden="1"/>
    <cellStyle name="Lien hypertexte visité" xfId="195" builtinId="9" hidden="1"/>
    <cellStyle name="Lien hypertexte visité" xfId="197" builtinId="9" hidden="1"/>
    <cellStyle name="Lien hypertexte visité" xfId="199" builtinId="9" hidden="1"/>
    <cellStyle name="Lien hypertexte visité" xfId="201" builtinId="9" hidden="1"/>
    <cellStyle name="Lien hypertexte visité" xfId="203" builtinId="9" hidden="1"/>
    <cellStyle name="Lien hypertexte visité" xfId="205" builtinId="9" hidden="1"/>
    <cellStyle name="Lien hypertexte visité" xfId="207" builtinId="9" hidden="1"/>
    <cellStyle name="Lien hypertexte visité" xfId="209" builtinId="9" hidden="1"/>
    <cellStyle name="Lien hypertexte visité" xfId="211" builtinId="9" hidden="1"/>
    <cellStyle name="Lien hypertexte visité" xfId="213" builtinId="9" hidden="1"/>
    <cellStyle name="Lien hypertexte visité" xfId="215" builtinId="9" hidden="1"/>
    <cellStyle name="Lien hypertexte visité" xfId="217" builtinId="9" hidden="1"/>
    <cellStyle name="Lien hypertexte visité" xfId="219" builtinId="9" hidden="1"/>
    <cellStyle name="Lien hypertexte visité" xfId="221" builtinId="9" hidden="1"/>
    <cellStyle name="Lien hypertexte visité" xfId="223" builtinId="9" hidden="1"/>
    <cellStyle name="Lien hypertexte visité" xfId="225" builtinId="9" hidden="1"/>
    <cellStyle name="Lien hypertexte visité" xfId="227" builtinId="9" hidden="1"/>
    <cellStyle name="Lien hypertexte visité" xfId="229" builtinId="9" hidden="1"/>
    <cellStyle name="Lien hypertexte visité" xfId="231" builtinId="9" hidden="1"/>
    <cellStyle name="Lien hypertexte visité" xfId="233" builtinId="9" hidden="1"/>
    <cellStyle name="Lien hypertexte visité" xfId="235" builtinId="9" hidden="1"/>
    <cellStyle name="Lien hypertexte visité" xfId="237" builtinId="9" hidden="1"/>
    <cellStyle name="Lien hypertexte visité" xfId="239" builtinId="9" hidden="1"/>
    <cellStyle name="Lien hypertexte visité" xfId="241" builtinId="9" hidden="1"/>
    <cellStyle name="Lien hypertexte visité" xfId="243" builtinId="9" hidden="1"/>
    <cellStyle name="Lien hypertexte visité" xfId="245" builtinId="9" hidden="1"/>
    <cellStyle name="Lien hypertexte visité" xfId="247" builtinId="9" hidden="1"/>
    <cellStyle name="Lien hypertexte visité" xfId="249" builtinId="9" hidden="1"/>
    <cellStyle name="Lien hypertexte visité" xfId="251" builtinId="9" hidden="1"/>
    <cellStyle name="Lien hypertexte visité" xfId="253" builtinId="9" hidden="1"/>
    <cellStyle name="Lien hypertexte visité" xfId="255" builtinId="9" hidden="1"/>
    <cellStyle name="Lien hypertexte visité" xfId="257" builtinId="9" hidden="1"/>
    <cellStyle name="Lien hypertexte visité" xfId="259" builtinId="9" hidden="1"/>
    <cellStyle name="Lien hypertexte visité" xfId="261" builtinId="9" hidden="1"/>
    <cellStyle name="Lien hypertexte visité" xfId="263" builtinId="9" hidden="1"/>
    <cellStyle name="Lien hypertexte visité" xfId="265" builtinId="9" hidden="1"/>
    <cellStyle name="Lien hypertexte visité" xfId="267" builtinId="9" hidden="1"/>
    <cellStyle name="Lien hypertexte visité" xfId="269" builtinId="9" hidden="1"/>
    <cellStyle name="Lien hypertexte visité" xfId="271" builtinId="9" hidden="1"/>
    <cellStyle name="Lien hypertexte visité" xfId="273" builtinId="9" hidden="1"/>
    <cellStyle name="Lien hypertexte visité" xfId="275" builtinId="9" hidden="1"/>
    <cellStyle name="Lien hypertexte visité" xfId="277" builtinId="9" hidden="1"/>
    <cellStyle name="Lien hypertexte visité" xfId="279" builtinId="9" hidden="1"/>
    <cellStyle name="Lien hypertexte visité" xfId="281" builtinId="9" hidden="1"/>
    <cellStyle name="Lien hypertexte visité" xfId="283" builtinId="9" hidden="1"/>
    <cellStyle name="Lien hypertexte visité" xfId="285" builtinId="9" hidden="1"/>
    <cellStyle name="Lien hypertexte visité" xfId="287" builtinId="9" hidden="1"/>
    <cellStyle name="Lien hypertexte visité" xfId="289" builtinId="9" hidden="1"/>
    <cellStyle name="Lien hypertexte visité" xfId="291" builtinId="9" hidden="1"/>
    <cellStyle name="Lien hypertexte visité" xfId="293" builtinId="9" hidden="1"/>
    <cellStyle name="Lien hypertexte visité" xfId="295" builtinId="9" hidden="1"/>
    <cellStyle name="Lien hypertexte visité" xfId="297" builtinId="9" hidden="1"/>
    <cellStyle name="Lien hypertexte visité" xfId="299" builtinId="9" hidden="1"/>
    <cellStyle name="Lien hypertexte visité" xfId="301" builtinId="9" hidden="1"/>
    <cellStyle name="Lien hypertexte visité" xfId="303" builtinId="9" hidden="1"/>
    <cellStyle name="Lien hypertexte visité" xfId="305" builtinId="9" hidden="1"/>
    <cellStyle name="Lien hypertexte visité" xfId="307" builtinId="9" hidden="1"/>
    <cellStyle name="Lien hypertexte visité" xfId="309" builtinId="9" hidden="1"/>
    <cellStyle name="Lien hypertexte visité" xfId="311" builtinId="9" hidden="1"/>
    <cellStyle name="Lien hypertexte visité" xfId="313" builtinId="9" hidden="1"/>
    <cellStyle name="Lien hypertexte visité" xfId="315" builtinId="9" hidden="1"/>
    <cellStyle name="Lien hypertexte visité" xfId="317" builtinId="9" hidden="1"/>
    <cellStyle name="Lien hypertexte visité" xfId="319" builtinId="9" hidden="1"/>
    <cellStyle name="Lien hypertexte visité" xfId="321" builtinId="9" hidden="1"/>
    <cellStyle name="Lien hypertexte visité" xfId="323" builtinId="9" hidden="1"/>
    <cellStyle name="Lien hypertexte visité" xfId="325" builtinId="9" hidden="1"/>
    <cellStyle name="Lien hypertexte visité" xfId="327" builtinId="9" hidden="1"/>
    <cellStyle name="Normal" xfId="0" builtinId="0"/>
  </cellStyles>
  <dxfs count="11">
    <dxf>
      <font>
        <color theme="1"/>
      </font>
      <fill>
        <patternFill patternType="solid">
          <fgColor theme="0"/>
          <bgColor rgb="FF64FF64"/>
        </patternFill>
      </fill>
    </dxf>
    <dxf>
      <fill>
        <patternFill>
          <bgColor rgb="FFFF6464"/>
        </patternFill>
      </fill>
    </dxf>
    <dxf>
      <fill>
        <patternFill>
          <bgColor rgb="FF64FF64"/>
        </patternFill>
      </fill>
    </dxf>
    <dxf>
      <fill>
        <patternFill>
          <bgColor rgb="FFFF6464"/>
        </patternFill>
      </fill>
    </dxf>
    <dxf>
      <fill>
        <patternFill>
          <bgColor rgb="FF64FF64"/>
        </patternFill>
      </fill>
    </dxf>
    <dxf>
      <font>
        <color theme="1"/>
      </font>
      <fill>
        <patternFill patternType="solid">
          <fgColor theme="0"/>
          <bgColor rgb="FF64FF64"/>
        </patternFill>
      </fill>
    </dxf>
    <dxf>
      <fill>
        <patternFill>
          <bgColor rgb="FFFF6464"/>
        </patternFill>
      </fill>
    </dxf>
    <dxf>
      <fill>
        <patternFill>
          <bgColor rgb="FF64FF64"/>
        </patternFill>
      </fill>
    </dxf>
    <dxf>
      <fill>
        <patternFill>
          <bgColor rgb="FFFF6464"/>
        </patternFill>
      </fill>
    </dxf>
    <dxf>
      <font>
        <color auto="1"/>
      </font>
      <fill>
        <patternFill>
          <bgColor rgb="FF64FF64"/>
        </patternFill>
      </fill>
    </dxf>
    <dxf>
      <font>
        <color auto="1"/>
      </font>
      <fill>
        <patternFill>
          <bgColor rgb="FFFF6464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6464"/>
      <color rgb="FF64FF64"/>
      <color rgb="FFFFFFFF"/>
      <color rgb="FF9AFC24"/>
      <color rgb="FF66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u="sng">
                <a:solidFill>
                  <a:srgbClr val="00B050"/>
                </a:solidFill>
              </a:rPr>
              <a:t>Recettes de septembre 2022 à</a:t>
            </a:r>
            <a:r>
              <a:rPr lang="fr-FR" u="sng" baseline="0">
                <a:solidFill>
                  <a:srgbClr val="00B050"/>
                </a:solidFill>
              </a:rPr>
              <a:t> août</a:t>
            </a:r>
            <a:r>
              <a:rPr lang="fr-FR" u="sng">
                <a:solidFill>
                  <a:srgbClr val="00B050"/>
                </a:solidFill>
              </a:rPr>
              <a:t> 2023 (54534,20 €)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0509307660071905"/>
          <c:y val="0.26213749046889678"/>
          <c:w val="0.45375625840887535"/>
          <c:h val="0.6269608473554578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ACD-4444-9498-BA6CEA91E88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ACD-4444-9498-BA6CEA91E88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BA2-4430-9D80-83DEF58861FA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BA2-4430-9D80-83DEF58861FA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ACD-4444-9498-BA6CEA91E887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ACD-4444-9498-BA6CEA91E887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9ACD-4444-9498-BA6CEA91E887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BA2-4430-9D80-83DEF58861FA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BA2-4430-9D80-83DEF58861FA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FBA2-4430-9D80-83DEF58861FA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FBA2-4430-9D80-83DEF58861FA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FBA2-4430-9D80-83DEF58861FA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FBA2-4430-9D80-83DEF58861FA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FBA2-4430-9D80-83DEF58861FA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FBA2-4430-9D80-83DEF58861FA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FBA2-4430-9D80-83DEF58861FA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FBA2-4430-9D80-83DEF58861FA}"/>
              </c:ext>
            </c:extLst>
          </c:dPt>
          <c:dPt>
            <c:idx val="17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FBA2-4430-9D80-83DEF58861FA}"/>
              </c:ext>
            </c:extLst>
          </c:dPt>
          <c:dPt>
            <c:idx val="18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FBA2-4430-9D80-83DEF58861FA}"/>
              </c:ext>
            </c:extLst>
          </c:dPt>
          <c:dPt>
            <c:idx val="19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7-FBA2-4430-9D80-83DEF58861FA}"/>
              </c:ext>
            </c:extLst>
          </c:dPt>
          <c:dPt>
            <c:idx val="20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9-FBA2-4430-9D80-83DEF58861FA}"/>
              </c:ext>
            </c:extLst>
          </c:dPt>
          <c:dPt>
            <c:idx val="21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B-FBA2-4430-9D80-83DEF58861FA}"/>
              </c:ext>
            </c:extLst>
          </c:dPt>
          <c:dPt>
            <c:idx val="22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D-FBA2-4430-9D80-83DEF58861FA}"/>
              </c:ext>
            </c:extLst>
          </c:dPt>
          <c:dPt>
            <c:idx val="23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F-FBA2-4430-9D80-83DEF58861FA}"/>
              </c:ext>
            </c:extLst>
          </c:dPt>
          <c:dPt>
            <c:idx val="24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1-FBA2-4430-9D80-83DEF58861FA}"/>
              </c:ext>
            </c:extLst>
          </c:dPt>
          <c:dPt>
            <c:idx val="25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3-FBA2-4430-9D80-83DEF58861FA}"/>
              </c:ext>
            </c:extLst>
          </c:dPt>
          <c:dPt>
            <c:idx val="26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5-FBA2-4430-9D80-83DEF58861FA}"/>
              </c:ext>
            </c:extLst>
          </c:dPt>
          <c:dPt>
            <c:idx val="27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7-FBA2-4430-9D80-83DEF58861FA}"/>
              </c:ext>
            </c:extLst>
          </c:dPt>
          <c:dPt>
            <c:idx val="28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9-FBA2-4430-9D80-83DEF58861FA}"/>
              </c:ext>
            </c:extLst>
          </c:dPt>
          <c:dPt>
            <c:idx val="29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B-FBA2-4430-9D80-83DEF58861FA}"/>
              </c:ext>
            </c:extLst>
          </c:dPt>
          <c:dPt>
            <c:idx val="30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D-FBA2-4430-9D80-83DEF58861FA}"/>
              </c:ext>
            </c:extLst>
          </c:dPt>
          <c:dPt>
            <c:idx val="31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F-FBA2-4430-9D80-83DEF58861FA}"/>
              </c:ext>
            </c:extLst>
          </c:dPt>
          <c:dPt>
            <c:idx val="32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1-FBA2-4430-9D80-83DEF58861FA}"/>
              </c:ext>
            </c:extLst>
          </c:dPt>
          <c:dPt>
            <c:idx val="33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3-FBA2-4430-9D80-83DEF58861FA}"/>
              </c:ext>
            </c:extLst>
          </c:dPt>
          <c:dPt>
            <c:idx val="34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5-FBA2-4430-9D80-83DEF58861FA}"/>
              </c:ext>
            </c:extLst>
          </c:dPt>
          <c:dPt>
            <c:idx val="35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7-FBA2-4430-9D80-83DEF58861FA}"/>
              </c:ext>
            </c:extLst>
          </c:dPt>
          <c:dPt>
            <c:idx val="36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9-FBA2-4430-9D80-83DEF58861FA}"/>
              </c:ext>
            </c:extLst>
          </c:dPt>
          <c:dPt>
            <c:idx val="37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B-FBA2-4430-9D80-83DEF58861FA}"/>
              </c:ext>
            </c:extLst>
          </c:dPt>
          <c:dPt>
            <c:idx val="38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D-FBA2-4430-9D80-83DEF58861FA}"/>
              </c:ext>
            </c:extLst>
          </c:dPt>
          <c:dPt>
            <c:idx val="39"/>
            <c:bubble3D val="0"/>
            <c:spPr>
              <a:gradFill rotWithShape="1">
                <a:gsLst>
                  <a:gs pos="0">
                    <a:schemeClr val="accent4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F-FBA2-4430-9D80-83DEF58861FA}"/>
              </c:ext>
            </c:extLst>
          </c:dPt>
          <c:dPt>
            <c:idx val="40"/>
            <c:bubble3D val="0"/>
            <c:spPr>
              <a:gradFill rotWithShape="1">
                <a:gsLst>
                  <a:gs pos="0">
                    <a:schemeClr val="accent5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1-FBA2-4430-9D80-83DEF58861FA}"/>
              </c:ext>
            </c:extLst>
          </c:dPt>
          <c:dPt>
            <c:idx val="41"/>
            <c:bubble3D val="0"/>
            <c:spPr>
              <a:gradFill rotWithShape="1">
                <a:gsLst>
                  <a:gs pos="0">
                    <a:schemeClr val="accent6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3-FBA2-4430-9D80-83DEF58861FA}"/>
              </c:ext>
            </c:extLst>
          </c:dPt>
          <c:dPt>
            <c:idx val="42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5-FBA2-4430-9D80-83DEF58861FA}"/>
              </c:ext>
            </c:extLst>
          </c:dPt>
          <c:dPt>
            <c:idx val="43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7-FBA2-4430-9D80-83DEF58861FA}"/>
              </c:ext>
            </c:extLst>
          </c:dPt>
          <c:dPt>
            <c:idx val="44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9-FBA2-4430-9D80-83DEF58861FA}"/>
              </c:ext>
            </c:extLst>
          </c:dPt>
          <c:dPt>
            <c:idx val="45"/>
            <c:bubble3D val="0"/>
            <c:spPr>
              <a:gradFill rotWithShape="1">
                <a:gsLst>
                  <a:gs pos="0">
                    <a:schemeClr val="accent4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B-FBA2-4430-9D80-83DEF58861FA}"/>
              </c:ext>
            </c:extLst>
          </c:dPt>
          <c:dPt>
            <c:idx val="46"/>
            <c:bubble3D val="0"/>
            <c:spPr>
              <a:gradFill rotWithShape="1">
                <a:gsLst>
                  <a:gs pos="0">
                    <a:schemeClr val="accent5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D-FBA2-4430-9D80-83DEF58861FA}"/>
              </c:ext>
            </c:extLst>
          </c:dPt>
          <c:dPt>
            <c:idx val="47"/>
            <c:bubble3D val="0"/>
            <c:spPr>
              <a:gradFill rotWithShape="1">
                <a:gsLst>
                  <a:gs pos="0">
                    <a:schemeClr val="accent6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F-FBA2-4430-9D80-83DEF58861FA}"/>
              </c:ext>
            </c:extLst>
          </c:dPt>
          <c:dPt>
            <c:idx val="48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1-FBA2-4430-9D80-83DEF58861FA}"/>
              </c:ext>
            </c:extLst>
          </c:dPt>
          <c:dPt>
            <c:idx val="49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3-FBA2-4430-9D80-83DEF58861FA}"/>
              </c:ext>
            </c:extLst>
          </c:dPt>
          <c:dPt>
            <c:idx val="50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5-FBA2-4430-9D80-83DEF58861FA}"/>
              </c:ext>
            </c:extLst>
          </c:dPt>
          <c:dPt>
            <c:idx val="51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7-FBA2-4430-9D80-83DEF58861FA}"/>
              </c:ext>
            </c:extLst>
          </c:dPt>
          <c:dPt>
            <c:idx val="52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9-FBA2-4430-9D80-83DEF58861FA}"/>
              </c:ext>
            </c:extLst>
          </c:dPt>
          <c:dPt>
            <c:idx val="53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B-FBA2-4430-9D80-83DEF58861FA}"/>
              </c:ext>
            </c:extLst>
          </c:dPt>
          <c:dPt>
            <c:idx val="54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D-FBA2-4430-9D80-83DEF58861FA}"/>
              </c:ext>
            </c:extLst>
          </c:dPt>
          <c:dPt>
            <c:idx val="55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F-FBA2-4430-9D80-83DEF58861FA}"/>
              </c:ext>
            </c:extLst>
          </c:dPt>
          <c:dPt>
            <c:idx val="56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1-FBA2-4430-9D80-83DEF58861FA}"/>
              </c:ext>
            </c:extLst>
          </c:dPt>
          <c:dPt>
            <c:idx val="57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3-FBA2-4430-9D80-83DEF58861FA}"/>
              </c:ext>
            </c:extLst>
          </c:dPt>
          <c:dPt>
            <c:idx val="58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5-FBA2-4430-9D80-83DEF58861FA}"/>
              </c:ext>
            </c:extLst>
          </c:dPt>
          <c:dPt>
            <c:idx val="59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7-FBA2-4430-9D80-83DEF58861FA}"/>
              </c:ext>
            </c:extLst>
          </c:dPt>
          <c:dPt>
            <c:idx val="60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9-FBA2-4430-9D80-83DEF58861FA}"/>
              </c:ext>
            </c:extLst>
          </c:dPt>
          <c:dPt>
            <c:idx val="6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B-FBA2-4430-9D80-83DEF58861FA}"/>
              </c:ext>
            </c:extLst>
          </c:dPt>
          <c:dPt>
            <c:idx val="62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D-FBA2-4430-9D80-83DEF58861FA}"/>
              </c:ext>
            </c:extLst>
          </c:dPt>
          <c:dPt>
            <c:idx val="63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F-FBA2-4430-9D80-83DEF58861FA}"/>
              </c:ext>
            </c:extLst>
          </c:dPt>
          <c:dPt>
            <c:idx val="6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1-FBA2-4430-9D80-83DEF58861FA}"/>
              </c:ext>
            </c:extLst>
          </c:dPt>
          <c:dPt>
            <c:idx val="6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3-FBA2-4430-9D80-83DEF58861FA}"/>
              </c:ext>
            </c:extLst>
          </c:dPt>
          <c:dPt>
            <c:idx val="66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5-FBA2-4430-9D80-83DEF58861FA}"/>
              </c:ext>
            </c:extLst>
          </c:dPt>
          <c:dPt>
            <c:idx val="67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7-FBA2-4430-9D80-83DEF58861FA}"/>
              </c:ext>
            </c:extLst>
          </c:dPt>
          <c:dPt>
            <c:idx val="68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9-FBA2-4430-9D80-83DEF58861FA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'Compta (2)'!$C$567:$C$635</c:f>
              <c:strCache>
                <c:ptCount val="69"/>
                <c:pt idx="0">
                  <c:v>Subvention municipale</c:v>
                </c:pt>
                <c:pt idx="1">
                  <c:v>Subvention départementale</c:v>
                </c:pt>
                <c:pt idx="2">
                  <c:v>Subvention régionale</c:v>
                </c:pt>
                <c:pt idx="3">
                  <c:v>Subvention d'Etat</c:v>
                </c:pt>
                <c:pt idx="4">
                  <c:v>Subvention des fédérations</c:v>
                </c:pt>
                <c:pt idx="5">
                  <c:v>Autres subventions</c:v>
                </c:pt>
                <c:pt idx="6">
                  <c:v>Subvention du Conseil d'Administration</c:v>
                </c:pt>
                <c:pt idx="7">
                  <c:v>Subvention du C.A. de l'année précédente</c:v>
                </c:pt>
                <c:pt idx="8">
                  <c:v>Avance sur subvention du C.A. de l'année suivante</c:v>
                </c:pt>
                <c:pt idx="10">
                  <c:v>Cotisations des membres actifs</c:v>
                </c:pt>
                <c:pt idx="11">
                  <c:v>Cotisations des membres honoraires</c:v>
                </c:pt>
                <c:pt idx="12">
                  <c:v>Cotisations des membres bienfaiteurs</c:v>
                </c:pt>
                <c:pt idx="13">
                  <c:v>Droits d'entrée des membres</c:v>
                </c:pt>
                <c:pt idx="14">
                  <c:v>Compensation de mutation</c:v>
                </c:pt>
                <c:pt idx="16">
                  <c:v>Dons et collectes auprès des particuliers</c:v>
                </c:pt>
                <c:pt idx="17">
                  <c:v>Dons et collectes auprès des entreprises</c:v>
                </c:pt>
                <c:pt idx="18">
                  <c:v>Dons des bénévoles de l'association</c:v>
                </c:pt>
                <c:pt idx="20">
                  <c:v>Stages</c:v>
                </c:pt>
                <c:pt idx="22">
                  <c:v>Exploitation buvette</c:v>
                </c:pt>
                <c:pt idx="23">
                  <c:v>Exploitation restaurant</c:v>
                </c:pt>
                <c:pt idx="24">
                  <c:v>Prestations publicitaires</c:v>
                </c:pt>
                <c:pt idx="26">
                  <c:v>Ventes aux adhérents de matériel sportif</c:v>
                </c:pt>
                <c:pt idx="27">
                  <c:v>Ventes aux adhérents d'équipements sportifs</c:v>
                </c:pt>
                <c:pt idx="28">
                  <c:v>Ventes aux adhérents d'insignes, fanions, écussons…..</c:v>
                </c:pt>
                <c:pt idx="29">
                  <c:v>Ventes aux adhérents de livres, brochures…..</c:v>
                </c:pt>
                <c:pt idx="31">
                  <c:v>Ventes à des tiers de matériel sportif</c:v>
                </c:pt>
                <c:pt idx="32">
                  <c:v>Ventes à des tiers d'équipements sportifs</c:v>
                </c:pt>
                <c:pt idx="33">
                  <c:v>Ventes à des tiers d'insignes, fanions, écussons…..</c:v>
                </c:pt>
                <c:pt idx="34">
                  <c:v>Ventes à des tiers de livres, brochures…..</c:v>
                </c:pt>
                <c:pt idx="36">
                  <c:v>Billets d'entrée aux manifestations</c:v>
                </c:pt>
                <c:pt idx="37">
                  <c:v>Droits d'engagements perçus</c:v>
                </c:pt>
                <c:pt idx="39">
                  <c:v>Remboursements fédération</c:v>
                </c:pt>
                <c:pt idx="40">
                  <c:v>Remboursements instance régionale</c:v>
                </c:pt>
                <c:pt idx="41">
                  <c:v>Remboursements instance départementale</c:v>
                </c:pt>
                <c:pt idx="42">
                  <c:v>Remboursements autres clubs</c:v>
                </c:pt>
                <c:pt idx="43">
                  <c:v>Remboursements divers</c:v>
                </c:pt>
                <c:pt idx="45">
                  <c:v>Remboursement charges sociales par les sections</c:v>
                </c:pt>
                <c:pt idx="46">
                  <c:v>Remboursement prélèvement à la source par les sections</c:v>
                </c:pt>
                <c:pt idx="47">
                  <c:v>Remboursement frais de paie par les sections</c:v>
                </c:pt>
                <c:pt idx="49">
                  <c:v>Produits nets sur cessions de valeurs mobilières</c:v>
                </c:pt>
                <c:pt idx="50">
                  <c:v>Autres produits financiers</c:v>
                </c:pt>
                <c:pt idx="51">
                  <c:v>Autres produits financiers *ANCV</c:v>
                </c:pt>
                <c:pt idx="52">
                  <c:v>Autres produits financiers *COUPONS SPORT</c:v>
                </c:pt>
                <c:pt idx="53">
                  <c:v>Produits exceptionnels divers</c:v>
                </c:pt>
                <c:pt idx="60">
                  <c:v>Emprunt débloqué</c:v>
                </c:pt>
                <c:pt idx="62">
                  <c:v>Provisions pour achat de matériel</c:v>
                </c:pt>
                <c:pt idx="63">
                  <c:v>Provisions pour organisation de manifestation</c:v>
                </c:pt>
                <c:pt idx="64">
                  <c:v>Provisions pour charges de personnel</c:v>
                </c:pt>
                <c:pt idx="65">
                  <c:v>Provisions pour trésorerie saison N</c:v>
                </c:pt>
                <c:pt idx="66">
                  <c:v>Provisions pour subventions section saison N non versées</c:v>
                </c:pt>
                <c:pt idx="68">
                  <c:v>Remboursement chômage partiel </c:v>
                </c:pt>
              </c:strCache>
            </c:strRef>
          </c:cat>
          <c:val>
            <c:numRef>
              <c:f>'Compta (2)'!$D$567:$D$635</c:f>
              <c:numCache>
                <c:formatCode>_-* #\ ##0.00\ [$€-1]_-;\-* #\ ##0.00\ [$€-1]_-;_-* "-"??\ [$€-1]_-</c:formatCode>
                <c:ptCount val="69"/>
                <c:pt idx="55" formatCode="General">
                  <c:v>0</c:v>
                </c:pt>
                <c:pt idx="5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0-462B-95A2-AC6368946E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dPt>
                  <c:idx val="0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1-9ACD-4444-9498-BA6CEA91E887}"/>
                    </c:ext>
                  </c:extLst>
                </c:dPt>
                <c:dPt>
                  <c:idx val="1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3-9ACD-4444-9498-BA6CEA91E887}"/>
                    </c:ext>
                  </c:extLst>
                </c:dPt>
                <c:dPt>
                  <c:idx val="2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8F-FBA2-4430-9D80-83DEF58861FA}"/>
                    </c:ext>
                  </c:extLst>
                </c:dPt>
                <c:dPt>
                  <c:idx val="3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91-FBA2-4430-9D80-83DEF58861FA}"/>
                    </c:ext>
                  </c:extLst>
                </c:dPt>
                <c:dPt>
                  <c:idx val="4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9-9ACD-4444-9498-BA6CEA91E887}"/>
                    </c:ext>
                  </c:extLst>
                </c:dPt>
                <c:dPt>
                  <c:idx val="5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B-9ACD-4444-9498-BA6CEA91E887}"/>
                    </c:ext>
                  </c:extLst>
                </c:dPt>
                <c:dPt>
                  <c:idx val="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1D-9ACD-4444-9498-BA6CEA91E887}"/>
                    </c:ext>
                  </c:extLst>
                </c:dPt>
                <c:dPt>
                  <c:idx val="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99-FBA2-4430-9D80-83DEF58861FA}"/>
                    </c:ext>
                  </c:extLst>
                </c:dPt>
                <c:dPt>
                  <c:idx val="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9B-FBA2-4430-9D80-83DEF58861FA}"/>
                    </c:ext>
                  </c:extLst>
                </c:dPt>
                <c:dPt>
                  <c:idx val="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9D-FBA2-4430-9D80-83DEF58861FA}"/>
                    </c:ext>
                  </c:extLst>
                </c:dPt>
                <c:dPt>
                  <c:idx val="1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9F-FBA2-4430-9D80-83DEF58861FA}"/>
                    </c:ext>
                  </c:extLst>
                </c:dPt>
                <c:dPt>
                  <c:idx val="1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1-FBA2-4430-9D80-83DEF58861FA}"/>
                    </c:ext>
                  </c:extLst>
                </c:dPt>
                <c:dPt>
                  <c:idx val="1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3-FBA2-4430-9D80-83DEF58861FA}"/>
                    </c:ext>
                  </c:extLst>
                </c:dPt>
                <c:dPt>
                  <c:idx val="1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5-FBA2-4430-9D80-83DEF58861FA}"/>
                    </c:ext>
                  </c:extLst>
                </c:dPt>
                <c:dPt>
                  <c:idx val="1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7-FBA2-4430-9D80-83DEF58861FA}"/>
                    </c:ext>
                  </c:extLst>
                </c:dPt>
                <c:dPt>
                  <c:idx val="1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9-FBA2-4430-9D80-83DEF58861FA}"/>
                    </c:ext>
                  </c:extLst>
                </c:dPt>
                <c:dPt>
                  <c:idx val="1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B-FBA2-4430-9D80-83DEF58861FA}"/>
                    </c:ext>
                  </c:extLst>
                </c:dPt>
                <c:dPt>
                  <c:idx val="1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D-FBA2-4430-9D80-83DEF58861FA}"/>
                    </c:ext>
                  </c:extLst>
                </c:dPt>
                <c:dPt>
                  <c:idx val="1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AF-FBA2-4430-9D80-83DEF58861FA}"/>
                    </c:ext>
                  </c:extLst>
                </c:dPt>
                <c:dPt>
                  <c:idx val="1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1-FBA2-4430-9D80-83DEF58861FA}"/>
                    </c:ext>
                  </c:extLst>
                </c:dPt>
                <c:dPt>
                  <c:idx val="2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3-FBA2-4430-9D80-83DEF58861FA}"/>
                    </c:ext>
                  </c:extLst>
                </c:dPt>
                <c:dPt>
                  <c:idx val="2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5-FBA2-4430-9D80-83DEF58861FA}"/>
                    </c:ext>
                  </c:extLst>
                </c:dPt>
                <c:dPt>
                  <c:idx val="2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7-FBA2-4430-9D80-83DEF58861FA}"/>
                    </c:ext>
                  </c:extLst>
                </c:dPt>
                <c:dPt>
                  <c:idx val="2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9-FBA2-4430-9D80-83DEF58861FA}"/>
                    </c:ext>
                  </c:extLst>
                </c:dPt>
                <c:dPt>
                  <c:idx val="2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B-FBA2-4430-9D80-83DEF58861FA}"/>
                    </c:ext>
                  </c:extLst>
                </c:dPt>
                <c:dPt>
                  <c:idx val="2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D-FBA2-4430-9D80-83DEF58861FA}"/>
                    </c:ext>
                  </c:extLst>
                </c:dPt>
                <c:dPt>
                  <c:idx val="2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BF-FBA2-4430-9D80-83DEF58861FA}"/>
                    </c:ext>
                  </c:extLst>
                </c:dPt>
                <c:dPt>
                  <c:idx val="2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1-FBA2-4430-9D80-83DEF58861FA}"/>
                    </c:ext>
                  </c:extLst>
                </c:dPt>
                <c:dPt>
                  <c:idx val="2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3-FBA2-4430-9D80-83DEF58861FA}"/>
                    </c:ext>
                  </c:extLst>
                </c:dPt>
                <c:dPt>
                  <c:idx val="2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5-FBA2-4430-9D80-83DEF58861FA}"/>
                    </c:ext>
                  </c:extLst>
                </c:dPt>
                <c:dPt>
                  <c:idx val="3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7-FBA2-4430-9D80-83DEF58861FA}"/>
                    </c:ext>
                  </c:extLst>
                </c:dPt>
                <c:dPt>
                  <c:idx val="3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9-FBA2-4430-9D80-83DEF58861FA}"/>
                    </c:ext>
                  </c:extLst>
                </c:dPt>
                <c:dPt>
                  <c:idx val="3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B-FBA2-4430-9D80-83DEF58861FA}"/>
                    </c:ext>
                  </c:extLst>
                </c:dPt>
                <c:dPt>
                  <c:idx val="3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D-FBA2-4430-9D80-83DEF58861FA}"/>
                    </c:ext>
                  </c:extLst>
                </c:dPt>
                <c:dPt>
                  <c:idx val="3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F-FBA2-4430-9D80-83DEF58861FA}"/>
                    </c:ext>
                  </c:extLst>
                </c:dPt>
                <c:dPt>
                  <c:idx val="3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1-FBA2-4430-9D80-83DEF58861FA}"/>
                    </c:ext>
                  </c:extLst>
                </c:dPt>
                <c:dPt>
                  <c:idx val="3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3-FBA2-4430-9D80-83DEF58861FA}"/>
                    </c:ext>
                  </c:extLst>
                </c:dPt>
                <c:dPt>
                  <c:idx val="3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5-FBA2-4430-9D80-83DEF58861FA}"/>
                    </c:ext>
                  </c:extLst>
                </c:dPt>
                <c:dPt>
                  <c:idx val="3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7-FBA2-4430-9D80-83DEF58861FA}"/>
                    </c:ext>
                  </c:extLst>
                </c:dPt>
                <c:dPt>
                  <c:idx val="3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9-FBA2-4430-9D80-83DEF58861FA}"/>
                    </c:ext>
                  </c:extLst>
                </c:dPt>
                <c:dPt>
                  <c:idx val="4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B-FBA2-4430-9D80-83DEF58861FA}"/>
                    </c:ext>
                  </c:extLst>
                </c:dPt>
                <c:dPt>
                  <c:idx val="4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D-FBA2-4430-9D80-83DEF58861FA}"/>
                    </c:ext>
                  </c:extLst>
                </c:dPt>
                <c:dPt>
                  <c:idx val="4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F-FBA2-4430-9D80-83DEF58861FA}"/>
                    </c:ext>
                  </c:extLst>
                </c:dPt>
                <c:dPt>
                  <c:idx val="4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1-FBA2-4430-9D80-83DEF58861FA}"/>
                    </c:ext>
                  </c:extLst>
                </c:dPt>
                <c:dPt>
                  <c:idx val="4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3-FBA2-4430-9D80-83DEF58861FA}"/>
                    </c:ext>
                  </c:extLst>
                </c:dPt>
                <c:dPt>
                  <c:idx val="4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5-FBA2-4430-9D80-83DEF58861FA}"/>
                    </c:ext>
                  </c:extLst>
                </c:dPt>
                <c:dPt>
                  <c:idx val="4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7-FBA2-4430-9D80-83DEF58861FA}"/>
                    </c:ext>
                  </c:extLst>
                </c:dPt>
                <c:dPt>
                  <c:idx val="4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9-FBA2-4430-9D80-83DEF58861FA}"/>
                    </c:ext>
                  </c:extLst>
                </c:dPt>
                <c:dPt>
                  <c:idx val="4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B-FBA2-4430-9D80-83DEF58861FA}"/>
                    </c:ext>
                  </c:extLst>
                </c:dPt>
                <c:dPt>
                  <c:idx val="4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D-FBA2-4430-9D80-83DEF58861FA}"/>
                    </c:ext>
                  </c:extLst>
                </c:dPt>
                <c:dPt>
                  <c:idx val="5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F-FBA2-4430-9D80-83DEF58861FA}"/>
                    </c:ext>
                  </c:extLst>
                </c:dPt>
                <c:dPt>
                  <c:idx val="5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1-FBA2-4430-9D80-83DEF58861FA}"/>
                    </c:ext>
                  </c:extLst>
                </c:dPt>
                <c:dPt>
                  <c:idx val="5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3-FBA2-4430-9D80-83DEF58861FA}"/>
                    </c:ext>
                  </c:extLst>
                </c:dPt>
                <c:dPt>
                  <c:idx val="5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5-FBA2-4430-9D80-83DEF58861FA}"/>
                    </c:ext>
                  </c:extLst>
                </c:dPt>
                <c:dPt>
                  <c:idx val="54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7-FBA2-4430-9D80-83DEF58861FA}"/>
                    </c:ext>
                  </c:extLst>
                </c:dPt>
                <c:dPt>
                  <c:idx val="55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9-FBA2-4430-9D80-83DEF58861FA}"/>
                    </c:ext>
                  </c:extLst>
                </c:dPt>
                <c:dPt>
                  <c:idx val="56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B-FBA2-4430-9D80-83DEF58861FA}"/>
                    </c:ext>
                  </c:extLst>
                </c:dPt>
                <c:dPt>
                  <c:idx val="57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D-FBA2-4430-9D80-83DEF58861FA}"/>
                    </c:ext>
                  </c:extLst>
                </c:dPt>
                <c:dPt>
                  <c:idx val="58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F-FBA2-4430-9D80-83DEF58861FA}"/>
                    </c:ext>
                  </c:extLst>
                </c:dPt>
                <c:dPt>
                  <c:idx val="59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1-FBA2-4430-9D80-83DEF58861FA}"/>
                    </c:ext>
                  </c:extLst>
                </c:dPt>
                <c:dPt>
                  <c:idx val="6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3-FBA2-4430-9D80-83DEF58861FA}"/>
                    </c:ext>
                  </c:extLst>
                </c:dPt>
                <c:dPt>
                  <c:idx val="6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5-FBA2-4430-9D80-83DEF58861FA}"/>
                    </c:ext>
                  </c:extLst>
                </c:dPt>
                <c:dPt>
                  <c:idx val="6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7-FBA2-4430-9D80-83DEF58861FA}"/>
                    </c:ext>
                  </c:extLst>
                </c:dPt>
                <c:dPt>
                  <c:idx val="6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9-FBA2-4430-9D80-83DEF58861FA}"/>
                    </c:ext>
                  </c:extLst>
                </c:dPt>
                <c:dPt>
                  <c:idx val="6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B-FBA2-4430-9D80-83DEF58861FA}"/>
                    </c:ext>
                  </c:extLst>
                </c:dPt>
                <c:dPt>
                  <c:idx val="6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D-FBA2-4430-9D80-83DEF58861FA}"/>
                    </c:ext>
                  </c:extLst>
                </c:dPt>
                <c:dPt>
                  <c:idx val="6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F-FBA2-4430-9D80-83DEF58861FA}"/>
                    </c:ext>
                  </c:extLst>
                </c:dPt>
                <c:dPt>
                  <c:idx val="6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1-FBA2-4430-9D80-83DEF58861FA}"/>
                    </c:ext>
                  </c:extLst>
                </c:dPt>
                <c:dPt>
                  <c:idx val="6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3-FBA2-4430-9D80-83DEF58861FA}"/>
                    </c:ext>
                  </c:extLst>
                </c:dPt>
                <c:dLbls>
                  <c:spPr>
                    <a:solidFill>
                      <a:schemeClr val="lt1"/>
                    </a:solidFill>
                    <a:ln>
                      <a:solidFill>
                        <a:schemeClr val="dk1">
                          <a:lumMod val="25000"/>
                          <a:lumOff val="75000"/>
                        </a:schemeClr>
                      </a:solidFill>
                    </a:ln>
                    <a:effectLst/>
                  </c:spPr>
                  <c:txPr>
                    <a:bodyPr rot="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65000"/>
                              <a:lumOff val="3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outEnd"/>
                  <c:showLegendKey val="0"/>
                  <c:showVal val="1"/>
                  <c:showCatName val="1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pPr xmlns:c15="http://schemas.microsoft.com/office/drawing/2012/chart">
                        <a:prstGeom prst="wedgeRectCallout">
                          <a:avLst/>
                        </a:prstGeom>
                        <a:noFill/>
                        <a:ln>
                          <a:noFill/>
                        </a:ln>
                      </c15:spPr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'Compta (2)'!$C$567:$C$635</c15:sqref>
                        </c15:formulaRef>
                      </c:ext>
                    </c:extLst>
                    <c:strCache>
                      <c:ptCount val="69"/>
                      <c:pt idx="0">
                        <c:v>Subvention municipale</c:v>
                      </c:pt>
                      <c:pt idx="1">
                        <c:v>Subvention départementale</c:v>
                      </c:pt>
                      <c:pt idx="2">
                        <c:v>Subvention régionale</c:v>
                      </c:pt>
                      <c:pt idx="3">
                        <c:v>Subvention d'Etat</c:v>
                      </c:pt>
                      <c:pt idx="4">
                        <c:v>Subvention des fédérations</c:v>
                      </c:pt>
                      <c:pt idx="5">
                        <c:v>Autres subventions</c:v>
                      </c:pt>
                      <c:pt idx="6">
                        <c:v>Subvention du Conseil d'Administration</c:v>
                      </c:pt>
                      <c:pt idx="7">
                        <c:v>Subvention du C.A. de l'année précédente</c:v>
                      </c:pt>
                      <c:pt idx="8">
                        <c:v>Avance sur subvention du C.A. de l'année suivante</c:v>
                      </c:pt>
                      <c:pt idx="10">
                        <c:v>Cotisations des membres actifs</c:v>
                      </c:pt>
                      <c:pt idx="11">
                        <c:v>Cotisations des membres honoraires</c:v>
                      </c:pt>
                      <c:pt idx="12">
                        <c:v>Cotisations des membres bienfaiteurs</c:v>
                      </c:pt>
                      <c:pt idx="13">
                        <c:v>Droits d'entrée des membres</c:v>
                      </c:pt>
                      <c:pt idx="14">
                        <c:v>Compensation de mutation</c:v>
                      </c:pt>
                      <c:pt idx="16">
                        <c:v>Dons et collectes auprès des particuliers</c:v>
                      </c:pt>
                      <c:pt idx="17">
                        <c:v>Dons et collectes auprès des entreprises</c:v>
                      </c:pt>
                      <c:pt idx="18">
                        <c:v>Dons des bénévoles de l'association</c:v>
                      </c:pt>
                      <c:pt idx="20">
                        <c:v>Stages</c:v>
                      </c:pt>
                      <c:pt idx="22">
                        <c:v>Exploitation buvette</c:v>
                      </c:pt>
                      <c:pt idx="23">
                        <c:v>Exploitation restaurant</c:v>
                      </c:pt>
                      <c:pt idx="24">
                        <c:v>Prestations publicitaires</c:v>
                      </c:pt>
                      <c:pt idx="26">
                        <c:v>Ventes aux adhérents de matériel sportif</c:v>
                      </c:pt>
                      <c:pt idx="27">
                        <c:v>Ventes aux adhérents d'équipements sportifs</c:v>
                      </c:pt>
                      <c:pt idx="28">
                        <c:v>Ventes aux adhérents d'insignes, fanions, écussons…..</c:v>
                      </c:pt>
                      <c:pt idx="29">
                        <c:v>Ventes aux adhérents de livres, brochures…..</c:v>
                      </c:pt>
                      <c:pt idx="31">
                        <c:v>Ventes à des tiers de matériel sportif</c:v>
                      </c:pt>
                      <c:pt idx="32">
                        <c:v>Ventes à des tiers d'équipements sportifs</c:v>
                      </c:pt>
                      <c:pt idx="33">
                        <c:v>Ventes à des tiers d'insignes, fanions, écussons…..</c:v>
                      </c:pt>
                      <c:pt idx="34">
                        <c:v>Ventes à des tiers de livres, brochures…..</c:v>
                      </c:pt>
                      <c:pt idx="36">
                        <c:v>Billets d'entrée aux manifestations</c:v>
                      </c:pt>
                      <c:pt idx="37">
                        <c:v>Droits d'engagements perçus</c:v>
                      </c:pt>
                      <c:pt idx="39">
                        <c:v>Remboursements fédération</c:v>
                      </c:pt>
                      <c:pt idx="40">
                        <c:v>Remboursements instance régionale</c:v>
                      </c:pt>
                      <c:pt idx="41">
                        <c:v>Remboursements instance départementale</c:v>
                      </c:pt>
                      <c:pt idx="42">
                        <c:v>Remboursements autres clubs</c:v>
                      </c:pt>
                      <c:pt idx="43">
                        <c:v>Remboursements divers</c:v>
                      </c:pt>
                      <c:pt idx="45">
                        <c:v>Remboursement charges sociales par les sections</c:v>
                      </c:pt>
                      <c:pt idx="46">
                        <c:v>Remboursement prélèvement à la source par les sections</c:v>
                      </c:pt>
                      <c:pt idx="47">
                        <c:v>Remboursement frais de paie par les sections</c:v>
                      </c:pt>
                      <c:pt idx="49">
                        <c:v>Produits nets sur cessions de valeurs mobilières</c:v>
                      </c:pt>
                      <c:pt idx="50">
                        <c:v>Autres produits financiers</c:v>
                      </c:pt>
                      <c:pt idx="51">
                        <c:v>Autres produits financiers *ANCV</c:v>
                      </c:pt>
                      <c:pt idx="52">
                        <c:v>Autres produits financiers *COUPONS SPORT</c:v>
                      </c:pt>
                      <c:pt idx="53">
                        <c:v>Produits exceptionnels divers</c:v>
                      </c:pt>
                      <c:pt idx="60">
                        <c:v>Emprunt débloqué</c:v>
                      </c:pt>
                      <c:pt idx="62">
                        <c:v>Provisions pour achat de matériel</c:v>
                      </c:pt>
                      <c:pt idx="63">
                        <c:v>Provisions pour organisation de manifestation</c:v>
                      </c:pt>
                      <c:pt idx="64">
                        <c:v>Provisions pour charges de personnel</c:v>
                      </c:pt>
                      <c:pt idx="65">
                        <c:v>Provisions pour trésorerie saison N</c:v>
                      </c:pt>
                      <c:pt idx="66">
                        <c:v>Provisions pour subventions section saison N non versées</c:v>
                      </c:pt>
                      <c:pt idx="68">
                        <c:v>Remboursement chômage partiel 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'Compta (2)'!$E$567:$E$635</c15:sqref>
                        </c15:formulaRef>
                      </c:ext>
                    </c:extLst>
                    <c:numCache>
                      <c:formatCode>_-* #\ ##0.00\ [$€-1]_-;\-* #\ ##0.00\ [$€-1]_-;_-* "-"??\ [$€-1]_-</c:formatCode>
                      <c:ptCount val="6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F160-462B-95A2-AC6368946E53}"/>
                  </c:ext>
                </c:extLst>
              </c15:ser>
            </c15:filteredPieSeries>
            <c15:filteredPieSeries>
              <c15:ser>
                <c:idx val="2"/>
                <c:order val="2"/>
                <c:dPt>
                  <c:idx val="0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3-F160-462B-95A2-AC6368946E53}"/>
                    </c:ext>
                  </c:extLst>
                </c:dPt>
                <c:dPt>
                  <c:idx val="1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5-F160-462B-95A2-AC6368946E53}"/>
                    </c:ext>
                  </c:extLst>
                </c:dPt>
                <c:dPt>
                  <c:idx val="2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1-775C-42D1-A771-A3EFE65FF464}"/>
                    </c:ext>
                  </c:extLst>
                </c:dPt>
                <c:dPt>
                  <c:idx val="3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3-775C-42D1-A771-A3EFE65FF464}"/>
                    </c:ext>
                  </c:extLst>
                </c:dPt>
                <c:dPt>
                  <c:idx val="4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B-F160-462B-95A2-AC6368946E53}"/>
                    </c:ext>
                  </c:extLst>
                </c:dPt>
                <c:dPt>
                  <c:idx val="5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D-F160-462B-95A2-AC6368946E53}"/>
                    </c:ext>
                  </c:extLst>
                </c:dPt>
                <c:dPt>
                  <c:idx val="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F-F160-462B-95A2-AC6368946E53}"/>
                    </c:ext>
                  </c:extLst>
                </c:dPt>
                <c:dPt>
                  <c:idx val="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5-775C-42D1-A771-A3EFE65FF464}"/>
                    </c:ext>
                  </c:extLst>
                </c:dPt>
                <c:dPt>
                  <c:idx val="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7-775C-42D1-A771-A3EFE65FF464}"/>
                    </c:ext>
                  </c:extLst>
                </c:dPt>
                <c:dPt>
                  <c:idx val="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9-775C-42D1-A771-A3EFE65FF464}"/>
                    </c:ext>
                  </c:extLst>
                </c:dPt>
                <c:dPt>
                  <c:idx val="1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9-794A-4CDD-9A5D-5A36854B6F21}"/>
                    </c:ext>
                  </c:extLst>
                </c:dPt>
                <c:dPt>
                  <c:idx val="1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B-775C-42D1-A771-A3EFE65FF464}"/>
                    </c:ext>
                  </c:extLst>
                </c:dPt>
                <c:dPt>
                  <c:idx val="1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D-775C-42D1-A771-A3EFE65FF464}"/>
                    </c:ext>
                  </c:extLst>
                </c:dPt>
                <c:dPt>
                  <c:idx val="1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F-775C-42D1-A771-A3EFE65FF464}"/>
                    </c:ext>
                  </c:extLst>
                </c:dPt>
                <c:dPt>
                  <c:idx val="1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1-775C-42D1-A771-A3EFE65FF464}"/>
                    </c:ext>
                  </c:extLst>
                </c:dPt>
                <c:dPt>
                  <c:idx val="1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3-775C-42D1-A771-A3EFE65FF464}"/>
                    </c:ext>
                  </c:extLst>
                </c:dPt>
                <c:dPt>
                  <c:idx val="1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5-775C-42D1-A771-A3EFE65FF464}"/>
                    </c:ext>
                  </c:extLst>
                </c:dPt>
                <c:dPt>
                  <c:idx val="1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7-775C-42D1-A771-A3EFE65FF464}"/>
                    </c:ext>
                  </c:extLst>
                </c:dPt>
                <c:dPt>
                  <c:idx val="1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9-794A-4CDD-9A5D-5A36854B6F21}"/>
                    </c:ext>
                  </c:extLst>
                </c:dPt>
                <c:dPt>
                  <c:idx val="1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9-775C-42D1-A771-A3EFE65FF464}"/>
                    </c:ext>
                  </c:extLst>
                </c:dPt>
                <c:dPt>
                  <c:idx val="2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D-794A-4CDD-9A5D-5A36854B6F21}"/>
                    </c:ext>
                  </c:extLst>
                </c:dPt>
                <c:dPt>
                  <c:idx val="2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B-775C-42D1-A771-A3EFE65FF464}"/>
                    </c:ext>
                  </c:extLst>
                </c:dPt>
                <c:dPt>
                  <c:idx val="2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D-775C-42D1-A771-A3EFE65FF464}"/>
                    </c:ext>
                  </c:extLst>
                </c:dPt>
                <c:dPt>
                  <c:idx val="2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F-775C-42D1-A771-A3EFE65FF464}"/>
                    </c:ext>
                  </c:extLst>
                </c:dPt>
                <c:dPt>
                  <c:idx val="2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1-775C-42D1-A771-A3EFE65FF464}"/>
                    </c:ext>
                  </c:extLst>
                </c:dPt>
                <c:dPt>
                  <c:idx val="2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3-775C-42D1-A771-A3EFE65FF464}"/>
                    </c:ext>
                  </c:extLst>
                </c:dPt>
                <c:dPt>
                  <c:idx val="2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5-775C-42D1-A771-A3EFE65FF464}"/>
                    </c:ext>
                  </c:extLst>
                </c:dPt>
                <c:dPt>
                  <c:idx val="2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B-794A-4CDD-9A5D-5A36854B6F21}"/>
                    </c:ext>
                  </c:extLst>
                </c:dPt>
                <c:dPt>
                  <c:idx val="2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7-775C-42D1-A771-A3EFE65FF464}"/>
                    </c:ext>
                  </c:extLst>
                </c:dPt>
                <c:dPt>
                  <c:idx val="2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9-775C-42D1-A771-A3EFE65FF464}"/>
                    </c:ext>
                  </c:extLst>
                </c:dPt>
                <c:dPt>
                  <c:idx val="3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B-775C-42D1-A771-A3EFE65FF464}"/>
                    </c:ext>
                  </c:extLst>
                </c:dPt>
                <c:dPt>
                  <c:idx val="3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D-775C-42D1-A771-A3EFE65FF464}"/>
                    </c:ext>
                  </c:extLst>
                </c:dPt>
                <c:dPt>
                  <c:idx val="3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F-775C-42D1-A771-A3EFE65FF464}"/>
                    </c:ext>
                  </c:extLst>
                </c:dPt>
                <c:dPt>
                  <c:idx val="3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1-775C-42D1-A771-A3EFE65FF464}"/>
                    </c:ext>
                  </c:extLst>
                </c:dPt>
                <c:dPt>
                  <c:idx val="3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3-775C-42D1-A771-A3EFE65FF464}"/>
                    </c:ext>
                  </c:extLst>
                </c:dPt>
                <c:dPt>
                  <c:idx val="3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5-775C-42D1-A771-A3EFE65FF464}"/>
                    </c:ext>
                  </c:extLst>
                </c:dPt>
                <c:dPt>
                  <c:idx val="3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7-775C-42D1-A771-A3EFE65FF464}"/>
                    </c:ext>
                  </c:extLst>
                </c:dPt>
                <c:dPt>
                  <c:idx val="3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9-775C-42D1-A771-A3EFE65FF464}"/>
                    </c:ext>
                  </c:extLst>
                </c:dPt>
                <c:dPt>
                  <c:idx val="3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B-775C-42D1-A771-A3EFE65FF464}"/>
                    </c:ext>
                  </c:extLst>
                </c:dPt>
                <c:dPt>
                  <c:idx val="3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D-775C-42D1-A771-A3EFE65FF464}"/>
                    </c:ext>
                  </c:extLst>
                </c:dPt>
                <c:dPt>
                  <c:idx val="4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F-775C-42D1-A771-A3EFE65FF464}"/>
                    </c:ext>
                  </c:extLst>
                </c:dPt>
                <c:dPt>
                  <c:idx val="4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1-775C-42D1-A771-A3EFE65FF464}"/>
                    </c:ext>
                  </c:extLst>
                </c:dPt>
                <c:dPt>
                  <c:idx val="4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3-775C-42D1-A771-A3EFE65FF464}"/>
                    </c:ext>
                  </c:extLst>
                </c:dPt>
                <c:dPt>
                  <c:idx val="4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794A-4CDD-9A5D-5A36854B6F21}"/>
                    </c:ext>
                  </c:extLst>
                </c:dPt>
                <c:dPt>
                  <c:idx val="4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5-775C-42D1-A771-A3EFE65FF464}"/>
                    </c:ext>
                  </c:extLst>
                </c:dPt>
                <c:dPt>
                  <c:idx val="4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7-775C-42D1-A771-A3EFE65FF464}"/>
                    </c:ext>
                  </c:extLst>
                </c:dPt>
                <c:dPt>
                  <c:idx val="4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9-775C-42D1-A771-A3EFE65FF464}"/>
                    </c:ext>
                  </c:extLst>
                </c:dPt>
                <c:dPt>
                  <c:idx val="4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775C-42D1-A771-A3EFE65FF464}"/>
                    </c:ext>
                  </c:extLst>
                </c:dPt>
                <c:dPt>
                  <c:idx val="4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D-775C-42D1-A771-A3EFE65FF464}"/>
                    </c:ext>
                  </c:extLst>
                </c:dPt>
                <c:dPt>
                  <c:idx val="4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F-775C-42D1-A771-A3EFE65FF464}"/>
                    </c:ext>
                  </c:extLst>
                </c:dPt>
                <c:dPt>
                  <c:idx val="5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1-775C-42D1-A771-A3EFE65FF464}"/>
                    </c:ext>
                  </c:extLst>
                </c:dPt>
                <c:dPt>
                  <c:idx val="5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794A-4CDD-9A5D-5A36854B6F21}"/>
                    </c:ext>
                  </c:extLst>
                </c:dPt>
                <c:dPt>
                  <c:idx val="5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D-794A-4CDD-9A5D-5A36854B6F21}"/>
                    </c:ext>
                  </c:extLst>
                </c:dPt>
                <c:dPt>
                  <c:idx val="5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F-794A-4CDD-9A5D-5A36854B6F21}"/>
                    </c:ext>
                  </c:extLst>
                </c:dPt>
                <c:dPt>
                  <c:idx val="54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3-775C-42D1-A771-A3EFE65FF464}"/>
                    </c:ext>
                  </c:extLst>
                </c:dPt>
                <c:dPt>
                  <c:idx val="55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5-775C-42D1-A771-A3EFE65FF464}"/>
                    </c:ext>
                  </c:extLst>
                </c:dPt>
                <c:dPt>
                  <c:idx val="56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7-775C-42D1-A771-A3EFE65FF464}"/>
                    </c:ext>
                  </c:extLst>
                </c:dPt>
                <c:dPt>
                  <c:idx val="57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9-775C-42D1-A771-A3EFE65FF464}"/>
                    </c:ext>
                  </c:extLst>
                </c:dPt>
                <c:dPt>
                  <c:idx val="58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775C-42D1-A771-A3EFE65FF464}"/>
                    </c:ext>
                  </c:extLst>
                </c:dPt>
                <c:dPt>
                  <c:idx val="59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D-775C-42D1-A771-A3EFE65FF464}"/>
                    </c:ext>
                  </c:extLst>
                </c:dPt>
                <c:dPt>
                  <c:idx val="6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F-775C-42D1-A771-A3EFE65FF464}"/>
                    </c:ext>
                  </c:extLst>
                </c:dPt>
                <c:dPt>
                  <c:idx val="6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1-775C-42D1-A771-A3EFE65FF464}"/>
                    </c:ext>
                  </c:extLst>
                </c:dPt>
                <c:dPt>
                  <c:idx val="6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1-E885-43BC-82E8-28DB9F8C7CE6}"/>
                    </c:ext>
                  </c:extLst>
                </c:dPt>
                <c:dPt>
                  <c:idx val="6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3-775C-42D1-A771-A3EFE65FF464}"/>
                    </c:ext>
                  </c:extLst>
                </c:dPt>
                <c:dPt>
                  <c:idx val="6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5-775C-42D1-A771-A3EFE65FF464}"/>
                    </c:ext>
                  </c:extLst>
                </c:dPt>
                <c:dPt>
                  <c:idx val="6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7-775C-42D1-A771-A3EFE65FF464}"/>
                    </c:ext>
                  </c:extLst>
                </c:dPt>
                <c:dPt>
                  <c:idx val="6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9-775C-42D1-A771-A3EFE65FF464}"/>
                    </c:ext>
                  </c:extLst>
                </c:dPt>
                <c:dPt>
                  <c:idx val="6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B-775C-42D1-A771-A3EFE65FF464}"/>
                    </c:ext>
                  </c:extLst>
                </c:dPt>
                <c:dPt>
                  <c:idx val="6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D-775C-42D1-A771-A3EFE65FF464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6.4575652010697343E-2"/>
                        <c:y val="-8.596621299428682E-2"/>
                      </c:manualLayout>
                    </c:layout>
                    <c:tx>
                      <c:rich>
                        <a:bodyPr rot="0" spcFirstLastPara="1" vertOverflow="clip" horzOverflow="clip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2AA0A3B1-95DE-4B92-8B97-B362959C990B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4D12DFCC-0958-4D05-8B2D-8F412338A9AD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82FA15BD-E8AF-45ED-AB1F-6AC0CA6C520A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1595027805544528"/>
                            <c:h val="7.1183567630764999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3-F160-462B-95A2-AC6368946E53}"/>
                      </c:ext>
                    </c:extLst>
                  </c:dLbl>
                  <c:dLbl>
                    <c:idx val="1"/>
                    <c:layout>
                      <c:manualLayout>
                        <c:x val="0.10883716466060035"/>
                        <c:y val="-2.0365868487094121E-2"/>
                      </c:manualLayout>
                    </c:layout>
                    <c:tx>
                      <c:rich>
                        <a:bodyPr rot="0" spcFirstLastPara="1" vertOverflow="clip" horzOverflow="clip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329EC9B2-8C2E-4A03-922E-4D79BEA8CD61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E06C8F4D-BDB0-4805-A9FE-9954067FD04D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8668E404-4470-4CF3-9E38-F252FBD6C941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20060863338937474"/>
                            <c:h val="8.5757250088596235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5-F160-462B-95A2-AC6368946E53}"/>
                      </c:ext>
                    </c:extLst>
                  </c:dLbl>
                  <c:dLbl>
                    <c:idx val="2"/>
                    <c:layout>
                      <c:manualLayout>
                        <c:x val="0.10595041267885179"/>
                        <c:y val="7.7283565984478053E-2"/>
                      </c:manualLayout>
                    </c:layout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19780778857423056"/>
                            <c:h val="0.10083694914735335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31-775C-42D1-A771-A3EFE65FF464}"/>
                      </c:ext>
                    </c:extLst>
                  </c:dLbl>
                  <c:dLbl>
                    <c:idx val="3"/>
                    <c:layout>
                      <c:manualLayout>
                        <c:x val="3.6441975035784072E-2"/>
                        <c:y val="4.9559733786745705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0401935129145007"/>
                            <c:h val="9.4284294105397598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33-775C-42D1-A771-A3EFE65FF464}"/>
                      </c:ext>
                    </c:extLst>
                  </c:dLbl>
                  <c:dLbl>
                    <c:idx val="4"/>
                    <c:layout>
                      <c:manualLayout>
                        <c:x val="5.1660618459929537E-2"/>
                        <c:y val="7.7740843828893605E-3"/>
                      </c:manualLayout>
                    </c:layout>
                    <c:tx>
                      <c:rich>
                        <a:bodyPr rot="0" spcFirstLastPara="1" vertOverflow="clip" horzOverflow="clip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A124E6C1-F230-420A-8738-8482CCB758B1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7D40A1BC-4C32-42DB-80BA-FFAC202DDBF7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88221527-B09D-4F46-990E-7C14D3107530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18622949765421135"/>
                            <c:h val="7.5898879860625934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B-F160-462B-95A2-AC6368946E53}"/>
                      </c:ext>
                    </c:extLst>
                  </c:dLbl>
                  <c:dLbl>
                    <c:idx val="5"/>
                    <c:layout>
                      <c:manualLayout>
                        <c:x val="8.3423655308292752E-2"/>
                        <c:y val="5.3379047158032274E-2"/>
                      </c:manualLayout>
                    </c:layout>
                    <c:tx>
                      <c:rich>
                        <a:bodyPr rot="0" spcFirstLastPara="1" vertOverflow="clip" horzOverflow="clip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FC58277F-C8E3-4F02-A733-A04D2C1F5BB9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r>
                            <a:rPr lang="en-US" baseline="0"/>
                            <a:t> </a:t>
                          </a:r>
                          <a:fld id="{7D5D8124-6567-42A8-BF76-EC6DB0147E11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09F01BF4-8D01-42E2-BF21-EC421DC874A5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14547405308171862"/>
                            <c:h val="7.5384776236397541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D-F160-462B-95A2-AC6368946E53}"/>
                      </c:ext>
                    </c:extLst>
                  </c:dLbl>
                  <c:dLbl>
                    <c:idx val="6"/>
                    <c:layout>
                      <c:manualLayout>
                        <c:x val="5.589786596719315E-2"/>
                        <c:y val="8.9579668299185691E-3"/>
                      </c:manualLayout>
                    </c:layout>
                    <c:tx>
                      <c:rich>
                        <a:bodyPr rot="0" spcFirstLastPara="1" vertOverflow="clip" horzOverflow="clip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5F9EFB8D-F221-4556-88C8-F59E2CCA9408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86828927-66CF-4B10-89DC-A7D36A3F6590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1393F458-9D9B-49C7-B14A-FA5C073EA55E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15369731563832947"/>
                            <c:h val="9.8154079166759334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F-F160-462B-95A2-AC6368946E53}"/>
                      </c:ext>
                    </c:extLst>
                  </c:dLbl>
                  <c:dLbl>
                    <c:idx val="7"/>
                    <c:layout>
                      <c:manualLayout>
                        <c:x val="-6.7359935241298893E-2"/>
                        <c:y val="4.6659813877158694E-2"/>
                      </c:manualLayout>
                    </c:layout>
                    <c:numFmt formatCode="0.00%" sourceLinked="0"/>
                    <c:spPr>
                      <a:solidFill>
                        <a:sysClr val="window" lastClr="FFFFFF"/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spPr xmlns:c15="http://schemas.microsoft.com/office/drawing/2012/chart">
                          <a:prstGeom prst="borderCallout2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  <c15:layout>
                          <c:manualLayout>
                            <c:w val="0.21728982937597016"/>
                            <c:h val="8.4346930989097832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35-775C-42D1-A771-A3EFE65FF464}"/>
                      </c:ext>
                    </c:extLst>
                  </c:dLbl>
                  <c:dLbl>
                    <c:idx val="8"/>
                    <c:layout>
                      <c:manualLayout>
                        <c:x val="-1.4347174782537189E-2"/>
                        <c:y val="-2.2424160328702839E-3"/>
                      </c:manualLayout>
                    </c:layout>
                    <c:tx>
                      <c:rich>
                        <a:bodyPr/>
                        <a:lstStyle/>
                        <a:p>
                          <a:fld id="{3522CD5A-4488-4B63-B091-1B36FE0B8571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EC4BADDF-A7FC-4BC8-BD84-4EF8BA3A7515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BDBFE362-437B-41B9-93F9-5F36A4E597E0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8570767214919685"/>
                            <c:h val="3.8760669455341866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37-775C-42D1-A771-A3EFE65FF464}"/>
                      </c:ext>
                    </c:extLst>
                  </c:dLbl>
                  <c:dLbl>
                    <c:idx val="9"/>
                    <c:layout>
                      <c:manualLayout>
                        <c:x val="-1.7825979198843506E-2"/>
                        <c:y val="-8.1799951882211355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9105348045573221"/>
                            <c:h val="6.067549172711956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39-775C-42D1-A771-A3EFE65FF464}"/>
                      </c:ext>
                    </c:extLst>
                  </c:dLbl>
                  <c:dLbl>
                    <c:idx val="10"/>
                    <c:layout>
                      <c:manualLayout>
                        <c:x val="0.18302023060505279"/>
                        <c:y val="2.3067423097479809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39-794A-4CDD-9A5D-5A36854B6F21}"/>
                      </c:ext>
                    </c:extLst>
                  </c:dLbl>
                  <c:dLbl>
                    <c:idx val="12"/>
                    <c:layout>
                      <c:manualLayout>
                        <c:x val="-5.5252835832373136E-2"/>
                        <c:y val="-5.8165626280746216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3D-775C-42D1-A771-A3EFE65FF464}"/>
                      </c:ext>
                    </c:extLst>
                  </c:dLbl>
                  <c:dLbl>
                    <c:idx val="18"/>
                    <c:layout>
                      <c:manualLayout>
                        <c:x val="-3.5806920592238396E-2"/>
                        <c:y val="0.20311779298202343"/>
                      </c:manualLayout>
                    </c:layout>
                    <c:tx>
                      <c:rich>
                        <a:bodyPr/>
                        <a:lstStyle/>
                        <a:p>
                          <a:fld id="{85CAC468-1F5A-4729-A7F9-71C5EF711FA1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34652569-7F12-4EC2-9C88-4B3A3269233D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1CED9582-150D-4133-9644-8AF5F76BADC4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4208184347675504"/>
                            <c:h val="5.9817400790275463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49-794A-4CDD-9A5D-5A36854B6F21}"/>
                      </c:ext>
                    </c:extLst>
                  </c:dLbl>
                  <c:dLbl>
                    <c:idx val="20"/>
                    <c:layout>
                      <c:manualLayout>
                        <c:x val="-0.13695612022703124"/>
                        <c:y val="0.1602887009554529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4D-794A-4CDD-9A5D-5A36854B6F21}"/>
                      </c:ext>
                    </c:extLst>
                  </c:dLbl>
                  <c:dLbl>
                    <c:idx val="27"/>
                    <c:layout>
                      <c:manualLayout>
                        <c:x val="-0.12608324627202122"/>
                        <c:y val="0.11130964432405049"/>
                      </c:manualLayout>
                    </c:layout>
                    <c:tx>
                      <c:rich>
                        <a:bodyPr/>
                        <a:lstStyle/>
                        <a:p>
                          <a:fld id="{E7640E6E-E593-47F3-B845-13C475169615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1F91C3EC-13FD-4119-A293-D68AAFF472FC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7610D65C-CDBD-42F1-BC07-7D860FD10BFD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5B-794A-4CDD-9A5D-5A36854B6F21}"/>
                      </c:ext>
                    </c:extLst>
                  </c:dLbl>
                  <c:dLbl>
                    <c:idx val="43"/>
                    <c:layout>
                      <c:manualLayout>
                        <c:x val="-0.12115627172194668"/>
                        <c:y val="3.8853634031145202E-2"/>
                      </c:manualLayout>
                    </c:layout>
                    <c:tx>
                      <c:rich>
                        <a:bodyPr/>
                        <a:lstStyle/>
                        <a:p>
                          <a:fld id="{C5EF5A34-93B4-4A1B-99D8-7384A4DD13DA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2937BE24-7A6E-4ECA-BDFE-81B455BE70E1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305653DB-A68C-4978-8774-397071F17F51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6123457992993576"/>
                            <c:h val="6.5589387021983928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7B-794A-4CDD-9A5D-5A36854B6F21}"/>
                      </c:ext>
                    </c:extLst>
                  </c:dLbl>
                  <c:dLbl>
                    <c:idx val="51"/>
                    <c:layout>
                      <c:manualLayout>
                        <c:x val="-8.1321205733717414E-2"/>
                        <c:y val="-2.7738961075163444E-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1424104504954378"/>
                            <c:h val="7.328539588390782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8B-794A-4CDD-9A5D-5A36854B6F21}"/>
                      </c:ext>
                    </c:extLst>
                  </c:dLbl>
                  <c:dLbl>
                    <c:idx val="52"/>
                    <c:layout>
                      <c:manualLayout>
                        <c:x val="-0.14041361734158675"/>
                        <c:y val="-7.8081615265003346E-2"/>
                      </c:manualLayout>
                    </c:layout>
                    <c:tx>
                      <c:rich>
                        <a:bodyPr/>
                        <a:lstStyle/>
                        <a:p>
                          <a:fld id="{22493752-7B01-4270-A6BE-C0078C6AE405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</a:t>
                          </a:r>
                        </a:p>
                        <a:p>
                          <a:r>
                            <a:rPr lang="en-US" baseline="0"/>
                            <a:t> </a:t>
                          </a:r>
                          <a:fld id="{755DC1CC-EB6E-405A-AC63-4CEB4FD8961E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0B8592A5-3F38-4CEC-BA3C-6E8EE55D9B18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7192280674500068"/>
                            <c:h val="0.10811225992391253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8D-794A-4CDD-9A5D-5A36854B6F21}"/>
                      </c:ext>
                    </c:extLst>
                  </c:dLbl>
                  <c:dLbl>
                    <c:idx val="53"/>
                    <c:layout>
                      <c:manualLayout>
                        <c:x val="-7.3205399773890789E-2"/>
                        <c:y val="-0.19165455706742071"/>
                      </c:manualLayout>
                    </c:layout>
                    <c:tx>
                      <c:rich>
                        <a:bodyPr/>
                        <a:lstStyle/>
                        <a:p>
                          <a:fld id="{FE5EA541-78A8-4BB6-8D23-BF40A61A777D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</a:t>
                          </a:r>
                        </a:p>
                        <a:p>
                          <a:r>
                            <a:rPr lang="en-US" baseline="0"/>
                            <a:t> </a:t>
                          </a:r>
                          <a:fld id="{43C015BD-8EB6-4DC2-8E28-A1D904DF583F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087C157E-E2C9-4759-900A-4AF14311A2CF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8F-794A-4CDD-9A5D-5A36854B6F21}"/>
                      </c:ext>
                    </c:extLst>
                  </c:dLbl>
                  <c:dLbl>
                    <c:idx val="58"/>
                    <c:layout>
                      <c:manualLayout>
                        <c:x val="1.2685592651460298E-2"/>
                        <c:y val="-8.3152362118418865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126954908616372"/>
                            <c:h val="6.3864955953161107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8B-775C-42D1-A771-A3EFE65FF464}"/>
                      </c:ext>
                    </c:extLst>
                  </c:dLbl>
                  <c:dLbl>
                    <c:idx val="62"/>
                    <c:layout>
                      <c:manualLayout>
                        <c:x val="-1.0890065073468083E-2"/>
                        <c:y val="-0.13001013206835996"/>
                      </c:manualLayout>
                    </c:layout>
                    <c:tx>
                      <c:rich>
                        <a:bodyPr/>
                        <a:lstStyle/>
                        <a:p>
                          <a:fld id="{7A8BCBD3-B35C-46C9-A4B2-0A840AAF7235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1FAB1AC4-5D52-4993-90C6-CEB7E60D74B5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046536D0-71BD-479E-A91C-88A62016A99B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1882008104716477"/>
                            <c:h val="7.9057402530350762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A1-E885-43BC-82E8-28DB9F8C7CE6}"/>
                      </c:ext>
                    </c:extLst>
                  </c:dLbl>
                  <c:numFmt formatCode="0.00%" sourceLinked="0"/>
                  <c:spPr>
                    <a:solidFill>
                      <a:sysClr val="window" lastClr="FFFFFF"/>
                    </a:solidFill>
                    <a:ln>
                      <a:noFill/>
                    </a:ln>
                    <a:effectLst/>
                  </c:spPr>
                  <c:txPr>
                    <a:bodyPr rot="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Calibri" panose="020F0502020204030204" pitchFamily="34" charset="0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bestFit"/>
                  <c:showLegendKey val="0"/>
                  <c:showVal val="1"/>
                  <c:showCatName val="1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>
                      <c15:spPr xmlns:c15="http://schemas.microsoft.com/office/drawing/2012/chart">
                        <a:prstGeom prst="borderCallout2">
                          <a:avLst/>
                        </a:prstGeom>
                        <a:noFill/>
                        <a:ln>
                          <a:noFill/>
                        </a:ln>
                      </c15:spPr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'Compta (2)'!$C$567:$C$635</c15:sqref>
                        </c15:formulaRef>
                      </c:ext>
                    </c:extLst>
                    <c:strCache>
                      <c:ptCount val="69"/>
                      <c:pt idx="0">
                        <c:v>Subvention municipale</c:v>
                      </c:pt>
                      <c:pt idx="1">
                        <c:v>Subvention départementale</c:v>
                      </c:pt>
                      <c:pt idx="2">
                        <c:v>Subvention régionale</c:v>
                      </c:pt>
                      <c:pt idx="3">
                        <c:v>Subvention d'Etat</c:v>
                      </c:pt>
                      <c:pt idx="4">
                        <c:v>Subvention des fédérations</c:v>
                      </c:pt>
                      <c:pt idx="5">
                        <c:v>Autres subventions</c:v>
                      </c:pt>
                      <c:pt idx="6">
                        <c:v>Subvention du Conseil d'Administration</c:v>
                      </c:pt>
                      <c:pt idx="7">
                        <c:v>Subvention du C.A. de l'année précédente</c:v>
                      </c:pt>
                      <c:pt idx="8">
                        <c:v>Avance sur subvention du C.A. de l'année suivante</c:v>
                      </c:pt>
                      <c:pt idx="10">
                        <c:v>Cotisations des membres actifs</c:v>
                      </c:pt>
                      <c:pt idx="11">
                        <c:v>Cotisations des membres honoraires</c:v>
                      </c:pt>
                      <c:pt idx="12">
                        <c:v>Cotisations des membres bienfaiteurs</c:v>
                      </c:pt>
                      <c:pt idx="13">
                        <c:v>Droits d'entrée des membres</c:v>
                      </c:pt>
                      <c:pt idx="14">
                        <c:v>Compensation de mutation</c:v>
                      </c:pt>
                      <c:pt idx="16">
                        <c:v>Dons et collectes auprès des particuliers</c:v>
                      </c:pt>
                      <c:pt idx="17">
                        <c:v>Dons et collectes auprès des entreprises</c:v>
                      </c:pt>
                      <c:pt idx="18">
                        <c:v>Dons des bénévoles de l'association</c:v>
                      </c:pt>
                      <c:pt idx="20">
                        <c:v>Stages</c:v>
                      </c:pt>
                      <c:pt idx="22">
                        <c:v>Exploitation buvette</c:v>
                      </c:pt>
                      <c:pt idx="23">
                        <c:v>Exploitation restaurant</c:v>
                      </c:pt>
                      <c:pt idx="24">
                        <c:v>Prestations publicitaires</c:v>
                      </c:pt>
                      <c:pt idx="26">
                        <c:v>Ventes aux adhérents de matériel sportif</c:v>
                      </c:pt>
                      <c:pt idx="27">
                        <c:v>Ventes aux adhérents d'équipements sportifs</c:v>
                      </c:pt>
                      <c:pt idx="28">
                        <c:v>Ventes aux adhérents d'insignes, fanions, écussons…..</c:v>
                      </c:pt>
                      <c:pt idx="29">
                        <c:v>Ventes aux adhérents de livres, brochures…..</c:v>
                      </c:pt>
                      <c:pt idx="31">
                        <c:v>Ventes à des tiers de matériel sportif</c:v>
                      </c:pt>
                      <c:pt idx="32">
                        <c:v>Ventes à des tiers d'équipements sportifs</c:v>
                      </c:pt>
                      <c:pt idx="33">
                        <c:v>Ventes à des tiers d'insignes, fanions, écussons…..</c:v>
                      </c:pt>
                      <c:pt idx="34">
                        <c:v>Ventes à des tiers de livres, brochures…..</c:v>
                      </c:pt>
                      <c:pt idx="36">
                        <c:v>Billets d'entrée aux manifestations</c:v>
                      </c:pt>
                      <c:pt idx="37">
                        <c:v>Droits d'engagements perçus</c:v>
                      </c:pt>
                      <c:pt idx="39">
                        <c:v>Remboursements fédération</c:v>
                      </c:pt>
                      <c:pt idx="40">
                        <c:v>Remboursements instance régionale</c:v>
                      </c:pt>
                      <c:pt idx="41">
                        <c:v>Remboursements instance départementale</c:v>
                      </c:pt>
                      <c:pt idx="42">
                        <c:v>Remboursements autres clubs</c:v>
                      </c:pt>
                      <c:pt idx="43">
                        <c:v>Remboursements divers</c:v>
                      </c:pt>
                      <c:pt idx="45">
                        <c:v>Remboursement charges sociales par les sections</c:v>
                      </c:pt>
                      <c:pt idx="46">
                        <c:v>Remboursement prélèvement à la source par les sections</c:v>
                      </c:pt>
                      <c:pt idx="47">
                        <c:v>Remboursement frais de paie par les sections</c:v>
                      </c:pt>
                      <c:pt idx="49">
                        <c:v>Produits nets sur cessions de valeurs mobilières</c:v>
                      </c:pt>
                      <c:pt idx="50">
                        <c:v>Autres produits financiers</c:v>
                      </c:pt>
                      <c:pt idx="51">
                        <c:v>Autres produits financiers *ANCV</c:v>
                      </c:pt>
                      <c:pt idx="52">
                        <c:v>Autres produits financiers *COUPONS SPORT</c:v>
                      </c:pt>
                      <c:pt idx="53">
                        <c:v>Produits exceptionnels divers</c:v>
                      </c:pt>
                      <c:pt idx="60">
                        <c:v>Emprunt débloqué</c:v>
                      </c:pt>
                      <c:pt idx="62">
                        <c:v>Provisions pour achat de matériel</c:v>
                      </c:pt>
                      <c:pt idx="63">
                        <c:v>Provisions pour organisation de manifestation</c:v>
                      </c:pt>
                      <c:pt idx="64">
                        <c:v>Provisions pour charges de personnel</c:v>
                      </c:pt>
                      <c:pt idx="65">
                        <c:v>Provisions pour trésorerie saison N</c:v>
                      </c:pt>
                      <c:pt idx="66">
                        <c:v>Provisions pour subventions section saison N non versées</c:v>
                      </c:pt>
                      <c:pt idx="68">
                        <c:v>Remboursement chômage partiel 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'Compta (2)'!$F$567:$F$635</c15:sqref>
                        </c15:formulaRef>
                      </c:ext>
                    </c:extLst>
                    <c:numCache>
                      <c:formatCode>#\ ##0.00\ [$€-1]</c:formatCode>
                      <c:ptCount val="6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5000</c:v>
                      </c:pt>
                      <c:pt idx="7">
                        <c:v>0</c:v>
                      </c:pt>
                      <c:pt idx="8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39453.75</c:v>
                      </c:pt>
                      <c:pt idx="14">
                        <c:v>0</c:v>
                      </c:pt>
                      <c:pt idx="16">
                        <c:v>0</c:v>
                      </c:pt>
                      <c:pt idx="17">
                        <c:v>55</c:v>
                      </c:pt>
                      <c:pt idx="18">
                        <c:v>0</c:v>
                      </c:pt>
                      <c:pt idx="20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9">
                        <c:v>0</c:v>
                      </c:pt>
                      <c:pt idx="50">
                        <c:v>552.04999999999995</c:v>
                      </c:pt>
                      <c:pt idx="51">
                        <c:v>940.87</c:v>
                      </c:pt>
                      <c:pt idx="52">
                        <c:v>117</c:v>
                      </c:pt>
                      <c:pt idx="53">
                        <c:v>0</c:v>
                      </c:pt>
                      <c:pt idx="55">
                        <c:v>46118.670000000006</c:v>
                      </c:pt>
                      <c:pt idx="58">
                        <c:v>46118.670000000006</c:v>
                      </c:pt>
                      <c:pt idx="60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8" formatCode="#\ ##0.00\ &quot;€&quot;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F160-462B-95A2-AC6368946E53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 horizontalDpi="-3" verticalDpi="-3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u="sng">
                <a:solidFill>
                  <a:srgbClr val="FF0000"/>
                </a:solidFill>
              </a:rPr>
              <a:t>Dépenses de septembre 2022 à août 2023 (54294,62 €)</a:t>
            </a:r>
          </a:p>
        </c:rich>
      </c:tx>
      <c:layout>
        <c:manualLayout>
          <c:xMode val="edge"/>
          <c:yMode val="edge"/>
          <c:x val="0.34219322435664246"/>
          <c:y val="1.015228426395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4412726306239063"/>
          <c:y val="0.1451337023466126"/>
          <c:w val="0.49637349934146319"/>
          <c:h val="0.6806705906811153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89E-49B6-98C6-6E5B361ACD45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5D3-4085-B1C3-461A3B0B2F6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5D3-4085-B1C3-461A3B0B2F6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5D3-4085-B1C3-461A3B0B2F6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5D3-4085-B1C3-461A3B0B2F67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89E-49B6-98C6-6E5B361ACD45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89E-49B6-98C6-6E5B361ACD45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E5D3-4085-B1C3-461A3B0B2F67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E5D3-4085-B1C3-461A3B0B2F67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E5D3-4085-B1C3-461A3B0B2F67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E5D3-4085-B1C3-461A3B0B2F67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E5D3-4085-B1C3-461A3B0B2F67}"/>
              </c:ext>
            </c:extLst>
          </c:dPt>
          <c:dPt>
            <c:idx val="1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E5D3-4085-B1C3-461A3B0B2F67}"/>
              </c:ext>
            </c:extLst>
          </c:dPt>
          <c:dPt>
            <c:idx val="1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E5D3-4085-B1C3-461A3B0B2F67}"/>
              </c:ext>
            </c:extLst>
          </c:dPt>
          <c:dPt>
            <c:idx val="14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D-E5D3-4085-B1C3-461A3B0B2F67}"/>
              </c:ext>
            </c:extLst>
          </c:dPt>
          <c:dPt>
            <c:idx val="15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F-E5D3-4085-B1C3-461A3B0B2F67}"/>
              </c:ext>
            </c:extLst>
          </c:dPt>
          <c:dPt>
            <c:idx val="16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1-889E-49B6-98C6-6E5B361ACD45}"/>
              </c:ext>
            </c:extLst>
          </c:dPt>
          <c:dPt>
            <c:idx val="17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3-E5D3-4085-B1C3-461A3B0B2F67}"/>
              </c:ext>
            </c:extLst>
          </c:dPt>
          <c:dPt>
            <c:idx val="18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5-E5D3-4085-B1C3-461A3B0B2F67}"/>
              </c:ext>
            </c:extLst>
          </c:dPt>
          <c:dPt>
            <c:idx val="19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7-E5D3-4085-B1C3-461A3B0B2F67}"/>
              </c:ext>
            </c:extLst>
          </c:dPt>
          <c:dPt>
            <c:idx val="20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9-E5D3-4085-B1C3-461A3B0B2F67}"/>
              </c:ext>
            </c:extLst>
          </c:dPt>
          <c:dPt>
            <c:idx val="21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B-E5D3-4085-B1C3-461A3B0B2F67}"/>
              </c:ext>
            </c:extLst>
          </c:dPt>
          <c:dPt>
            <c:idx val="22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D-E5D3-4085-B1C3-461A3B0B2F67}"/>
              </c:ext>
            </c:extLst>
          </c:dPt>
          <c:dPt>
            <c:idx val="23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2F-E5D3-4085-B1C3-461A3B0B2F67}"/>
              </c:ext>
            </c:extLst>
          </c:dPt>
          <c:dPt>
            <c:idx val="24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1-E5D3-4085-B1C3-461A3B0B2F67}"/>
              </c:ext>
            </c:extLst>
          </c:dPt>
          <c:dPt>
            <c:idx val="25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3-E5D3-4085-B1C3-461A3B0B2F67}"/>
              </c:ext>
            </c:extLst>
          </c:dPt>
          <c:dPt>
            <c:idx val="26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5-E5D3-4085-B1C3-461A3B0B2F67}"/>
              </c:ext>
            </c:extLst>
          </c:dPt>
          <c:dPt>
            <c:idx val="27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7-E5D3-4085-B1C3-461A3B0B2F67}"/>
              </c:ext>
            </c:extLst>
          </c:dPt>
          <c:dPt>
            <c:idx val="28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9-E5D3-4085-B1C3-461A3B0B2F67}"/>
              </c:ext>
            </c:extLst>
          </c:dPt>
          <c:dPt>
            <c:idx val="29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B-E5D3-4085-B1C3-461A3B0B2F67}"/>
              </c:ext>
            </c:extLst>
          </c:dPt>
          <c:dPt>
            <c:idx val="30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D-E5D3-4085-B1C3-461A3B0B2F67}"/>
              </c:ext>
            </c:extLst>
          </c:dPt>
          <c:dPt>
            <c:idx val="31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3F-E5D3-4085-B1C3-461A3B0B2F67}"/>
              </c:ext>
            </c:extLst>
          </c:dPt>
          <c:dPt>
            <c:idx val="32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1-E5D3-4085-B1C3-461A3B0B2F67}"/>
              </c:ext>
            </c:extLst>
          </c:dPt>
          <c:dPt>
            <c:idx val="33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3-E5D3-4085-B1C3-461A3B0B2F67}"/>
              </c:ext>
            </c:extLst>
          </c:dPt>
          <c:dPt>
            <c:idx val="34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5-E5D3-4085-B1C3-461A3B0B2F67}"/>
              </c:ext>
            </c:extLst>
          </c:dPt>
          <c:dPt>
            <c:idx val="35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7-E5D3-4085-B1C3-461A3B0B2F67}"/>
              </c:ext>
            </c:extLst>
          </c:dPt>
          <c:dPt>
            <c:idx val="36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9-E5D3-4085-B1C3-461A3B0B2F67}"/>
              </c:ext>
            </c:extLst>
          </c:dPt>
          <c:dPt>
            <c:idx val="37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B-E5D3-4085-B1C3-461A3B0B2F67}"/>
              </c:ext>
            </c:extLst>
          </c:dPt>
          <c:dPt>
            <c:idx val="38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D-E5D3-4085-B1C3-461A3B0B2F67}"/>
              </c:ext>
            </c:extLst>
          </c:dPt>
          <c:dPt>
            <c:idx val="39"/>
            <c:bubble3D val="0"/>
            <c:spPr>
              <a:gradFill rotWithShape="1">
                <a:gsLst>
                  <a:gs pos="0">
                    <a:schemeClr val="accent4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4F-E5D3-4085-B1C3-461A3B0B2F67}"/>
              </c:ext>
            </c:extLst>
          </c:dPt>
          <c:dPt>
            <c:idx val="40"/>
            <c:bubble3D val="0"/>
            <c:spPr>
              <a:gradFill rotWithShape="1">
                <a:gsLst>
                  <a:gs pos="0">
                    <a:schemeClr val="accent5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1-E5D3-4085-B1C3-461A3B0B2F67}"/>
              </c:ext>
            </c:extLst>
          </c:dPt>
          <c:dPt>
            <c:idx val="41"/>
            <c:bubble3D val="0"/>
            <c:spPr>
              <a:gradFill rotWithShape="1">
                <a:gsLst>
                  <a:gs pos="0">
                    <a:schemeClr val="accent6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3-E5D3-4085-B1C3-461A3B0B2F67}"/>
              </c:ext>
            </c:extLst>
          </c:dPt>
          <c:dPt>
            <c:idx val="42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5-E5D3-4085-B1C3-461A3B0B2F67}"/>
              </c:ext>
            </c:extLst>
          </c:dPt>
          <c:dPt>
            <c:idx val="43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7-E5D3-4085-B1C3-461A3B0B2F67}"/>
              </c:ext>
            </c:extLst>
          </c:dPt>
          <c:dPt>
            <c:idx val="44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9-E5D3-4085-B1C3-461A3B0B2F67}"/>
              </c:ext>
            </c:extLst>
          </c:dPt>
          <c:dPt>
            <c:idx val="45"/>
            <c:bubble3D val="0"/>
            <c:spPr>
              <a:gradFill rotWithShape="1">
                <a:gsLst>
                  <a:gs pos="0">
                    <a:schemeClr val="accent4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B-E5D3-4085-B1C3-461A3B0B2F67}"/>
              </c:ext>
            </c:extLst>
          </c:dPt>
          <c:dPt>
            <c:idx val="46"/>
            <c:bubble3D val="0"/>
            <c:spPr>
              <a:gradFill rotWithShape="1">
                <a:gsLst>
                  <a:gs pos="0">
                    <a:schemeClr val="accent5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D-E5D3-4085-B1C3-461A3B0B2F67}"/>
              </c:ext>
            </c:extLst>
          </c:dPt>
          <c:dPt>
            <c:idx val="47"/>
            <c:bubble3D val="0"/>
            <c:spPr>
              <a:gradFill rotWithShape="1">
                <a:gsLst>
                  <a:gs pos="0">
                    <a:schemeClr val="accent6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5F-E5D3-4085-B1C3-461A3B0B2F67}"/>
              </c:ext>
            </c:extLst>
          </c:dPt>
          <c:dPt>
            <c:idx val="48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1-E5D3-4085-B1C3-461A3B0B2F67}"/>
              </c:ext>
            </c:extLst>
          </c:dPt>
          <c:dPt>
            <c:idx val="49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3-E5D3-4085-B1C3-461A3B0B2F67}"/>
              </c:ext>
            </c:extLst>
          </c:dPt>
          <c:dPt>
            <c:idx val="50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5-E5D3-4085-B1C3-461A3B0B2F67}"/>
              </c:ext>
            </c:extLst>
          </c:dPt>
          <c:dPt>
            <c:idx val="51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7-E5D3-4085-B1C3-461A3B0B2F67}"/>
              </c:ext>
            </c:extLst>
          </c:dPt>
          <c:dPt>
            <c:idx val="52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9-E5D3-4085-B1C3-461A3B0B2F67}"/>
              </c:ext>
            </c:extLst>
          </c:dPt>
          <c:dPt>
            <c:idx val="53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lumOff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lumOff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Off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B-E5D3-4085-B1C3-461A3B0B2F67}"/>
              </c:ext>
            </c:extLst>
          </c:dPt>
          <c:dPt>
            <c:idx val="54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D-E5D3-4085-B1C3-461A3B0B2F67}"/>
              </c:ext>
            </c:extLst>
          </c:dPt>
          <c:dPt>
            <c:idx val="55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6F-E5D3-4085-B1C3-461A3B0B2F67}"/>
              </c:ext>
            </c:extLst>
          </c:dPt>
          <c:dPt>
            <c:idx val="56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1-E5D3-4085-B1C3-461A3B0B2F67}"/>
              </c:ext>
            </c:extLst>
          </c:dPt>
          <c:dPt>
            <c:idx val="57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3-E5D3-4085-B1C3-461A3B0B2F67}"/>
              </c:ext>
            </c:extLst>
          </c:dPt>
          <c:dPt>
            <c:idx val="58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5-E5D3-4085-B1C3-461A3B0B2F67}"/>
              </c:ext>
            </c:extLst>
          </c:dPt>
          <c:dPt>
            <c:idx val="59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7-E5D3-4085-B1C3-461A3B0B2F67}"/>
              </c:ext>
            </c:extLst>
          </c:dPt>
          <c:dPt>
            <c:idx val="60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9-E5D3-4085-B1C3-461A3B0B2F67}"/>
              </c:ext>
            </c:extLst>
          </c:dPt>
          <c:dPt>
            <c:idx val="6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B-E5D3-4085-B1C3-461A3B0B2F67}"/>
              </c:ext>
            </c:extLst>
          </c:dPt>
          <c:dPt>
            <c:idx val="62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D-E5D3-4085-B1C3-461A3B0B2F67}"/>
              </c:ext>
            </c:extLst>
          </c:dPt>
          <c:dPt>
            <c:idx val="63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7F-E5D3-4085-B1C3-461A3B0B2F67}"/>
              </c:ext>
            </c:extLst>
          </c:dPt>
          <c:dPt>
            <c:idx val="64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1-E5D3-4085-B1C3-461A3B0B2F67}"/>
              </c:ext>
            </c:extLst>
          </c:dPt>
          <c:dPt>
            <c:idx val="6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3-E5D3-4085-B1C3-461A3B0B2F67}"/>
              </c:ext>
            </c:extLst>
          </c:dPt>
          <c:dPt>
            <c:idx val="66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5-E5D3-4085-B1C3-461A3B0B2F67}"/>
              </c:ext>
            </c:extLst>
          </c:dPt>
          <c:dPt>
            <c:idx val="67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7-E5D3-4085-B1C3-461A3B0B2F67}"/>
              </c:ext>
            </c:extLst>
          </c:dPt>
          <c:dPt>
            <c:idx val="68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9-E5D3-4085-B1C3-461A3B0B2F67}"/>
              </c:ext>
            </c:extLst>
          </c:dPt>
          <c:dPt>
            <c:idx val="69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B-E5D3-4085-B1C3-461A3B0B2F67}"/>
              </c:ext>
            </c:extLst>
          </c:dPt>
          <c:dPt>
            <c:idx val="70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D-E5D3-4085-B1C3-461A3B0B2F67}"/>
              </c:ext>
            </c:extLst>
          </c:dPt>
          <c:dPt>
            <c:idx val="71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8F-E5D3-4085-B1C3-461A3B0B2F67}"/>
              </c:ext>
            </c:extLst>
          </c:dPt>
          <c:dPt>
            <c:idx val="72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1-E5D3-4085-B1C3-461A3B0B2F67}"/>
              </c:ext>
            </c:extLst>
          </c:dPt>
          <c:dPt>
            <c:idx val="73"/>
            <c:bubble3D val="0"/>
            <c:spPr>
              <a:gradFill rotWithShape="1">
                <a:gsLst>
                  <a:gs pos="0">
                    <a:schemeClr val="accent2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3-E5D3-4085-B1C3-461A3B0B2F67}"/>
              </c:ext>
            </c:extLst>
          </c:dPt>
          <c:dPt>
            <c:idx val="74"/>
            <c:bubble3D val="0"/>
            <c:spPr>
              <a:gradFill rotWithShape="1">
                <a:gsLst>
                  <a:gs pos="0">
                    <a:schemeClr val="accent3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5-E5D3-4085-B1C3-461A3B0B2F67}"/>
              </c:ext>
            </c:extLst>
          </c:dPt>
          <c:dPt>
            <c:idx val="75"/>
            <c:bubble3D val="0"/>
            <c:spPr>
              <a:gradFill rotWithShape="1">
                <a:gsLst>
                  <a:gs pos="0">
                    <a:schemeClr val="accent4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7-E5D3-4085-B1C3-461A3B0B2F67}"/>
              </c:ext>
            </c:extLst>
          </c:dPt>
          <c:dPt>
            <c:idx val="76"/>
            <c:bubble3D val="0"/>
            <c:spPr>
              <a:gradFill rotWithShape="1">
                <a:gsLst>
                  <a:gs pos="0">
                    <a:schemeClr val="accent5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9-E5D3-4085-B1C3-461A3B0B2F67}"/>
              </c:ext>
            </c:extLst>
          </c:dPt>
          <c:dPt>
            <c:idx val="77"/>
            <c:bubble3D val="0"/>
            <c:spPr>
              <a:gradFill rotWithShape="1">
                <a:gsLst>
                  <a:gs pos="0">
                    <a:schemeClr val="accent6">
                      <a:lumMod val="8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B-E5D3-4085-B1C3-461A3B0B2F67}"/>
              </c:ext>
            </c:extLst>
          </c:dPt>
          <c:dPt>
            <c:idx val="78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D-E5D3-4085-B1C3-461A3B0B2F67}"/>
              </c:ext>
            </c:extLst>
          </c:dPt>
          <c:dPt>
            <c:idx val="79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9F-E5D3-4085-B1C3-461A3B0B2F67}"/>
              </c:ext>
            </c:extLst>
          </c:dPt>
          <c:dPt>
            <c:idx val="80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1-E5D3-4085-B1C3-461A3B0B2F67}"/>
              </c:ext>
            </c:extLst>
          </c:dPt>
          <c:dPt>
            <c:idx val="81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3-E5D3-4085-B1C3-461A3B0B2F67}"/>
              </c:ext>
            </c:extLst>
          </c:dPt>
          <c:dPt>
            <c:idx val="82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5-E5D3-4085-B1C3-461A3B0B2F67}"/>
              </c:ext>
            </c:extLst>
          </c:dPt>
          <c:dPt>
            <c:idx val="83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lumOff val="4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lumOff val="4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Off val="4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7-E5D3-4085-B1C3-461A3B0B2F67}"/>
              </c:ext>
            </c:extLst>
          </c:dPt>
          <c:dPt>
            <c:idx val="84"/>
            <c:bubble3D val="0"/>
            <c:spPr>
              <a:gradFill rotWithShape="1">
                <a:gsLst>
                  <a:gs pos="0">
                    <a:schemeClr val="accent1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9-E5D3-4085-B1C3-461A3B0B2F67}"/>
              </c:ext>
            </c:extLst>
          </c:dPt>
          <c:dPt>
            <c:idx val="85"/>
            <c:bubble3D val="0"/>
            <c:spPr>
              <a:gradFill rotWithShape="1">
                <a:gsLst>
                  <a:gs pos="0">
                    <a:schemeClr val="accent2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B-E5D3-4085-B1C3-461A3B0B2F67}"/>
              </c:ext>
            </c:extLst>
          </c:dPt>
          <c:dPt>
            <c:idx val="86"/>
            <c:bubble3D val="0"/>
            <c:spPr>
              <a:gradFill rotWithShape="1">
                <a:gsLst>
                  <a:gs pos="0">
                    <a:schemeClr val="accent3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D-E5D3-4085-B1C3-461A3B0B2F67}"/>
              </c:ext>
            </c:extLst>
          </c:dPt>
          <c:dPt>
            <c:idx val="87"/>
            <c:bubble3D val="0"/>
            <c:spPr>
              <a:gradFill rotWithShape="1">
                <a:gsLst>
                  <a:gs pos="0">
                    <a:schemeClr val="accent4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AF-E5D3-4085-B1C3-461A3B0B2F67}"/>
              </c:ext>
            </c:extLst>
          </c:dPt>
          <c:dPt>
            <c:idx val="88"/>
            <c:bubble3D val="0"/>
            <c:spPr>
              <a:gradFill rotWithShape="1">
                <a:gsLst>
                  <a:gs pos="0">
                    <a:schemeClr val="accent5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1-E5D3-4085-B1C3-461A3B0B2F67}"/>
              </c:ext>
            </c:extLst>
          </c:dPt>
          <c:dPt>
            <c:idx val="89"/>
            <c:bubble3D val="0"/>
            <c:spPr>
              <a:gradFill rotWithShape="1">
                <a:gsLst>
                  <a:gs pos="0">
                    <a:schemeClr val="accent6">
                      <a:lumMod val="5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5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5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3-E5D3-4085-B1C3-461A3B0B2F67}"/>
              </c:ext>
            </c:extLst>
          </c:dPt>
          <c:dPt>
            <c:idx val="90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5-E5D3-4085-B1C3-461A3B0B2F67}"/>
              </c:ext>
            </c:extLst>
          </c:dPt>
          <c:dPt>
            <c:idx val="91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7-E5D3-4085-B1C3-461A3B0B2F67}"/>
              </c:ext>
            </c:extLst>
          </c:dPt>
          <c:dPt>
            <c:idx val="92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9-E5D3-4085-B1C3-461A3B0B2F67}"/>
              </c:ext>
            </c:extLst>
          </c:dPt>
          <c:dPt>
            <c:idx val="93"/>
            <c:bubble3D val="0"/>
            <c:spPr>
              <a:gradFill rotWithShape="1">
                <a:gsLst>
                  <a:gs pos="0">
                    <a:schemeClr val="accent4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B-E5D3-4085-B1C3-461A3B0B2F67}"/>
              </c:ext>
            </c:extLst>
          </c:dPt>
          <c:dPt>
            <c:idx val="94"/>
            <c:bubble3D val="0"/>
            <c:spPr>
              <a:gradFill rotWithShape="1">
                <a:gsLst>
                  <a:gs pos="0">
                    <a:schemeClr val="accent5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D-E5D3-4085-B1C3-461A3B0B2F67}"/>
              </c:ext>
            </c:extLst>
          </c:dPt>
          <c:dPt>
            <c:idx val="95"/>
            <c:bubble3D val="0"/>
            <c:spPr>
              <a:gradFill rotWithShape="1">
                <a:gsLst>
                  <a:gs pos="0">
                    <a:schemeClr val="accent6">
                      <a:lumMod val="70000"/>
                      <a:lumOff val="3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70000"/>
                      <a:lumOff val="3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70000"/>
                      <a:lumOff val="3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BF-E5D3-4085-B1C3-461A3B0B2F67}"/>
              </c:ext>
            </c:extLst>
          </c:dPt>
          <c:dPt>
            <c:idx val="96"/>
            <c:bubble3D val="0"/>
            <c:spPr>
              <a:gradFill rotWithShape="1">
                <a:gsLst>
                  <a:gs pos="0">
                    <a:schemeClr val="accent1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1-E5D3-4085-B1C3-461A3B0B2F67}"/>
              </c:ext>
            </c:extLst>
          </c:dPt>
          <c:dPt>
            <c:idx val="97"/>
            <c:bubble3D val="0"/>
            <c:spPr>
              <a:gradFill rotWithShape="1">
                <a:gsLst>
                  <a:gs pos="0">
                    <a:schemeClr val="accent2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3-E5D3-4085-B1C3-461A3B0B2F67}"/>
              </c:ext>
            </c:extLst>
          </c:dPt>
          <c:dPt>
            <c:idx val="98"/>
            <c:bubble3D val="0"/>
            <c:spPr>
              <a:gradFill rotWithShape="1">
                <a:gsLst>
                  <a:gs pos="0">
                    <a:schemeClr val="accent3">
                      <a:lumMod val="7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7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7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C5-E5D3-4085-B1C3-461A3B0B2F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'Compta (2)'!$C$647:$C$745</c:f>
              <c:strCache>
                <c:ptCount val="99"/>
                <c:pt idx="0">
                  <c:v>Licences</c:v>
                </c:pt>
                <c:pt idx="1">
                  <c:v>droits de mutation</c:v>
                </c:pt>
                <c:pt idx="2">
                  <c:v>Assurances individuelles</c:v>
                </c:pt>
                <c:pt idx="3">
                  <c:v>Engagements sports collectifs national et +</c:v>
                </c:pt>
                <c:pt idx="4">
                  <c:v>Engagements sports collectifs régional et -</c:v>
                </c:pt>
                <c:pt idx="5">
                  <c:v>Engagements sports individuels national et +</c:v>
                </c:pt>
                <c:pt idx="6">
                  <c:v>Engagements sports individuels régional et -</c:v>
                </c:pt>
                <c:pt idx="8">
                  <c:v>Charges diverses de gestion courante</c:v>
                </c:pt>
                <c:pt idx="10">
                  <c:v>Subvention du C.A.</c:v>
                </c:pt>
                <c:pt idx="11">
                  <c:v>Rétrocession de subvention spécifique communale</c:v>
                </c:pt>
                <c:pt idx="12">
                  <c:v>Rétrocession de subvention spécifique départementale</c:v>
                </c:pt>
                <c:pt idx="13">
                  <c:v>Rétrocession de subvention spécifique nationale</c:v>
                </c:pt>
                <c:pt idx="15">
                  <c:v>Personnel administratif</c:v>
                </c:pt>
                <c:pt idx="16">
                  <c:v>Personnel encadrement technique</c:v>
                </c:pt>
                <c:pt idx="17">
                  <c:v>Personnel joueurs</c:v>
                </c:pt>
                <c:pt idx="19">
                  <c:v>Cotisations URSSAF</c:v>
                </c:pt>
                <c:pt idx="20">
                  <c:v>Cotisations aux caisses de retraite</c:v>
                </c:pt>
                <c:pt idx="21">
                  <c:v>Cotisations aux ASSEDIC</c:v>
                </c:pt>
                <c:pt idx="22">
                  <c:v>Cotisations de prévoyance</c:v>
                </c:pt>
                <c:pt idx="23">
                  <c:v>Cotisations Uniformation</c:v>
                </c:pt>
                <c:pt idx="25">
                  <c:v>Prélèvement à la source</c:v>
                </c:pt>
                <c:pt idx="26">
                  <c:v>Charges sociales versées au Comité Directeur</c:v>
                </c:pt>
                <c:pt idx="28">
                  <c:v>Médecine du travail</c:v>
                </c:pt>
                <c:pt idx="30">
                  <c:v>Rbt ANCV chèques vacances aux sections</c:v>
                </c:pt>
                <c:pt idx="31">
                  <c:v>Rbt ANCV coupons cports aux sections</c:v>
                </c:pt>
                <c:pt idx="33">
                  <c:v>Taxe sur les salaires</c:v>
                </c:pt>
                <c:pt idx="34">
                  <c:v>Taxe d'apprentissage</c:v>
                </c:pt>
                <c:pt idx="35">
                  <c:v>Formation professionnelle</c:v>
                </c:pt>
                <c:pt idx="36">
                  <c:v>Participation à l'effort de construction</c:v>
                </c:pt>
                <c:pt idx="38">
                  <c:v>Achats de matériel</c:v>
                </c:pt>
                <c:pt idx="39">
                  <c:v>Achats d'équipements sportifs</c:v>
                </c:pt>
                <c:pt idx="40">
                  <c:v>Achats d'équipements pour entraineurs</c:v>
                </c:pt>
                <c:pt idx="41">
                  <c:v>Achats d'équipements pour sportifs</c:v>
                </c:pt>
                <c:pt idx="42">
                  <c:v>Achats de coupes, trophées, médailles</c:v>
                </c:pt>
                <c:pt idx="44">
                  <c:v>Fournitures non stockables</c:v>
                </c:pt>
                <c:pt idx="45">
                  <c:v>Fournitures d'entretien et petit matériel</c:v>
                </c:pt>
                <c:pt idx="46">
                  <c:v>Fournitures administratives</c:v>
                </c:pt>
                <c:pt idx="47">
                  <c:v>Fourniture médicales</c:v>
                </c:pt>
                <c:pt idx="48">
                  <c:v>Fournitures diverses</c:v>
                </c:pt>
                <c:pt idx="50">
                  <c:v>Achats aliments</c:v>
                </c:pt>
                <c:pt idx="51">
                  <c:v>Achats boissons</c:v>
                </c:pt>
                <c:pt idx="52">
                  <c:v>Achats insignes, fanions, accessoires, gadgets…</c:v>
                </c:pt>
                <c:pt idx="53">
                  <c:v>Achats livres, brochures, guides sportifs…</c:v>
                </c:pt>
                <c:pt idx="54">
                  <c:v>Achats articles de sports</c:v>
                </c:pt>
                <c:pt idx="59">
                  <c:v>Locations immobilières</c:v>
                </c:pt>
                <c:pt idx="60">
                  <c:v>Locations de matériel</c:v>
                </c:pt>
                <c:pt idx="61">
                  <c:v>Locations de véhicules</c:v>
                </c:pt>
                <c:pt idx="63">
                  <c:v>Entretien et réparation sur bien immobilier</c:v>
                </c:pt>
                <c:pt idx="64">
                  <c:v>Entretien et réparation sur bien mobilier</c:v>
                </c:pt>
                <c:pt idx="65">
                  <c:v>Contrat de maintenance</c:v>
                </c:pt>
                <c:pt idx="67">
                  <c:v>Assurance Responsabilité Civile</c:v>
                </c:pt>
                <c:pt idx="68">
                  <c:v>Assurance Multirisque, incendie, vol…</c:v>
                </c:pt>
                <c:pt idx="69">
                  <c:v>Assurance Véhicules</c:v>
                </c:pt>
                <c:pt idx="70">
                  <c:v>Autres assurance</c:v>
                </c:pt>
                <c:pt idx="72">
                  <c:v>Documentation générale</c:v>
                </c:pt>
                <c:pt idx="73">
                  <c:v>Documentation technique</c:v>
                </c:pt>
                <c:pt idx="74">
                  <c:v>Formation</c:v>
                </c:pt>
                <c:pt idx="75">
                  <c:v>Frais de colloques, séminaires, conférances…</c:v>
                </c:pt>
                <c:pt idx="77">
                  <c:v>Expert-comptable</c:v>
                </c:pt>
                <c:pt idx="78">
                  <c:v>Avocat</c:v>
                </c:pt>
                <c:pt idx="79">
                  <c:v>Médecins et kinés</c:v>
                </c:pt>
                <c:pt idx="80">
                  <c:v>Autres honoraires</c:v>
                </c:pt>
                <c:pt idx="81">
                  <c:v>Frais d'actes et de contentieux</c:v>
                </c:pt>
                <c:pt idx="83">
                  <c:v>Annonces et insertions</c:v>
                </c:pt>
                <c:pt idx="84">
                  <c:v>Expositions</c:v>
                </c:pt>
                <c:pt idx="85">
                  <c:v>Dépliants et imprimés</c:v>
                </c:pt>
                <c:pt idx="86">
                  <c:v>Publications</c:v>
                </c:pt>
                <c:pt idx="88">
                  <c:v>Déplacements sports collectifs niveau national et +</c:v>
                </c:pt>
                <c:pt idx="89">
                  <c:v>Déplacements sports collectifs niveau régional et -</c:v>
                </c:pt>
                <c:pt idx="90">
                  <c:v>Déplacements sports individuels niveau national et +</c:v>
                </c:pt>
                <c:pt idx="91">
                  <c:v>Déplacements sports individuels niveau régional et -</c:v>
                </c:pt>
                <c:pt idx="92">
                  <c:v>Stages</c:v>
                </c:pt>
                <c:pt idx="93">
                  <c:v>Déplacements du personnel</c:v>
                </c:pt>
                <c:pt idx="94">
                  <c:v>Missions</c:v>
                </c:pt>
                <c:pt idx="95">
                  <c:v>Réceptions</c:v>
                </c:pt>
                <c:pt idx="96">
                  <c:v>Déplacements des bénévoles</c:v>
                </c:pt>
                <c:pt idx="98">
                  <c:v>Affranchissements</c:v>
                </c:pt>
              </c:strCache>
            </c:strRef>
          </c:cat>
          <c:val>
            <c:numRef>
              <c:f>'Compta (2)'!$D$647:$D$745</c:f>
              <c:numCache>
                <c:formatCode>_-* #\ ##0.00\ [$€-1]_-;\-* #\ ##0.00\ [$€-1]_-;_-* "-"??\ [$€-1]_-</c:formatCode>
                <c:ptCount val="99"/>
                <c:pt idx="55" formatCode="General">
                  <c:v>0</c:v>
                </c:pt>
                <c:pt idx="5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F5-43A9-B5B8-94051C060FD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dPt>
                  <c:idx val="0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25-889E-49B6-98C6-6E5B361ACD45}"/>
                    </c:ext>
                  </c:extLst>
                </c:dPt>
                <c:dPt>
                  <c:idx val="1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9-E5D3-4085-B1C3-461A3B0B2F67}"/>
                    </c:ext>
                  </c:extLst>
                </c:dPt>
                <c:dPt>
                  <c:idx val="2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B-E5D3-4085-B1C3-461A3B0B2F67}"/>
                    </c:ext>
                  </c:extLst>
                </c:dPt>
                <c:dPt>
                  <c:idx val="3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D-E5D3-4085-B1C3-461A3B0B2F67}"/>
                    </c:ext>
                  </c:extLst>
                </c:dPt>
                <c:dPt>
                  <c:idx val="4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CF-E5D3-4085-B1C3-461A3B0B2F67}"/>
                    </c:ext>
                  </c:extLst>
                </c:dPt>
                <c:dPt>
                  <c:idx val="5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2F-889E-49B6-98C6-6E5B361ACD45}"/>
                    </c:ext>
                  </c:extLst>
                </c:dPt>
                <c:dPt>
                  <c:idx val="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31-889E-49B6-98C6-6E5B361ACD45}"/>
                    </c:ext>
                  </c:extLst>
                </c:dPt>
                <c:dPt>
                  <c:idx val="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5-E5D3-4085-B1C3-461A3B0B2F67}"/>
                    </c:ext>
                  </c:extLst>
                </c:dPt>
                <c:dPt>
                  <c:idx val="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7-E5D3-4085-B1C3-461A3B0B2F67}"/>
                    </c:ext>
                  </c:extLst>
                </c:dPt>
                <c:dPt>
                  <c:idx val="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9-E5D3-4085-B1C3-461A3B0B2F67}"/>
                    </c:ext>
                  </c:extLst>
                </c:dPt>
                <c:dPt>
                  <c:idx val="1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B-E5D3-4085-B1C3-461A3B0B2F67}"/>
                    </c:ext>
                  </c:extLst>
                </c:dPt>
                <c:dPt>
                  <c:idx val="1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D-E5D3-4085-B1C3-461A3B0B2F67}"/>
                    </c:ext>
                  </c:extLst>
                </c:dPt>
                <c:dPt>
                  <c:idx val="1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DF-E5D3-4085-B1C3-461A3B0B2F67}"/>
                    </c:ext>
                  </c:extLst>
                </c:dPt>
                <c:dPt>
                  <c:idx val="1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1-E5D3-4085-B1C3-461A3B0B2F67}"/>
                    </c:ext>
                  </c:extLst>
                </c:dPt>
                <c:dPt>
                  <c:idx val="1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3-E5D3-4085-B1C3-461A3B0B2F67}"/>
                    </c:ext>
                  </c:extLst>
                </c:dPt>
                <c:dPt>
                  <c:idx val="1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5-E5D3-4085-B1C3-461A3B0B2F67}"/>
                    </c:ext>
                  </c:extLst>
                </c:dPt>
                <c:dPt>
                  <c:idx val="1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45-889E-49B6-98C6-6E5B361ACD45}"/>
                    </c:ext>
                  </c:extLst>
                </c:dPt>
                <c:dPt>
                  <c:idx val="1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9-E5D3-4085-B1C3-461A3B0B2F67}"/>
                    </c:ext>
                  </c:extLst>
                </c:dPt>
                <c:dPt>
                  <c:idx val="1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B-E5D3-4085-B1C3-461A3B0B2F67}"/>
                    </c:ext>
                  </c:extLst>
                </c:dPt>
                <c:dPt>
                  <c:idx val="1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D-E5D3-4085-B1C3-461A3B0B2F67}"/>
                    </c:ext>
                  </c:extLst>
                </c:dPt>
                <c:dPt>
                  <c:idx val="2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EF-E5D3-4085-B1C3-461A3B0B2F67}"/>
                    </c:ext>
                  </c:extLst>
                </c:dPt>
                <c:dPt>
                  <c:idx val="2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1-E5D3-4085-B1C3-461A3B0B2F67}"/>
                    </c:ext>
                  </c:extLst>
                </c:dPt>
                <c:dPt>
                  <c:idx val="2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3-E5D3-4085-B1C3-461A3B0B2F67}"/>
                    </c:ext>
                  </c:extLst>
                </c:dPt>
                <c:dPt>
                  <c:idx val="2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5-E5D3-4085-B1C3-461A3B0B2F67}"/>
                    </c:ext>
                  </c:extLst>
                </c:dPt>
                <c:dPt>
                  <c:idx val="2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7-E5D3-4085-B1C3-461A3B0B2F67}"/>
                    </c:ext>
                  </c:extLst>
                </c:dPt>
                <c:dPt>
                  <c:idx val="2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9-E5D3-4085-B1C3-461A3B0B2F67}"/>
                    </c:ext>
                  </c:extLst>
                </c:dPt>
                <c:dPt>
                  <c:idx val="2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B-E5D3-4085-B1C3-461A3B0B2F67}"/>
                    </c:ext>
                  </c:extLst>
                </c:dPt>
                <c:dPt>
                  <c:idx val="2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D-E5D3-4085-B1C3-461A3B0B2F67}"/>
                    </c:ext>
                  </c:extLst>
                </c:dPt>
                <c:dPt>
                  <c:idx val="2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0FF-E5D3-4085-B1C3-461A3B0B2F67}"/>
                    </c:ext>
                  </c:extLst>
                </c:dPt>
                <c:dPt>
                  <c:idx val="2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1-E5D3-4085-B1C3-461A3B0B2F67}"/>
                    </c:ext>
                  </c:extLst>
                </c:dPt>
                <c:dPt>
                  <c:idx val="3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3-E5D3-4085-B1C3-461A3B0B2F67}"/>
                    </c:ext>
                  </c:extLst>
                </c:dPt>
                <c:dPt>
                  <c:idx val="3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5-E5D3-4085-B1C3-461A3B0B2F67}"/>
                    </c:ext>
                  </c:extLst>
                </c:dPt>
                <c:dPt>
                  <c:idx val="3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7-E5D3-4085-B1C3-461A3B0B2F67}"/>
                    </c:ext>
                  </c:extLst>
                </c:dPt>
                <c:dPt>
                  <c:idx val="3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9-E5D3-4085-B1C3-461A3B0B2F67}"/>
                    </c:ext>
                  </c:extLst>
                </c:dPt>
                <c:dPt>
                  <c:idx val="3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B-E5D3-4085-B1C3-461A3B0B2F67}"/>
                    </c:ext>
                  </c:extLst>
                </c:dPt>
                <c:dPt>
                  <c:idx val="3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D-E5D3-4085-B1C3-461A3B0B2F67}"/>
                    </c:ext>
                  </c:extLst>
                </c:dPt>
                <c:dPt>
                  <c:idx val="3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0F-E5D3-4085-B1C3-461A3B0B2F67}"/>
                    </c:ext>
                  </c:extLst>
                </c:dPt>
                <c:dPt>
                  <c:idx val="3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1-E5D3-4085-B1C3-461A3B0B2F67}"/>
                    </c:ext>
                  </c:extLst>
                </c:dPt>
                <c:dPt>
                  <c:idx val="3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3-E5D3-4085-B1C3-461A3B0B2F67}"/>
                    </c:ext>
                  </c:extLst>
                </c:dPt>
                <c:dPt>
                  <c:idx val="3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5-E5D3-4085-B1C3-461A3B0B2F67}"/>
                    </c:ext>
                  </c:extLst>
                </c:dPt>
                <c:dPt>
                  <c:idx val="4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7-E5D3-4085-B1C3-461A3B0B2F67}"/>
                    </c:ext>
                  </c:extLst>
                </c:dPt>
                <c:dPt>
                  <c:idx val="4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9-E5D3-4085-B1C3-461A3B0B2F67}"/>
                    </c:ext>
                  </c:extLst>
                </c:dPt>
                <c:dPt>
                  <c:idx val="4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B-E5D3-4085-B1C3-461A3B0B2F67}"/>
                    </c:ext>
                  </c:extLst>
                </c:dPt>
                <c:dPt>
                  <c:idx val="4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D-E5D3-4085-B1C3-461A3B0B2F67}"/>
                    </c:ext>
                  </c:extLst>
                </c:dPt>
                <c:dPt>
                  <c:idx val="4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1F-E5D3-4085-B1C3-461A3B0B2F67}"/>
                    </c:ext>
                  </c:extLst>
                </c:dPt>
                <c:dPt>
                  <c:idx val="4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1-E5D3-4085-B1C3-461A3B0B2F67}"/>
                    </c:ext>
                  </c:extLst>
                </c:dPt>
                <c:dPt>
                  <c:idx val="4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3-E5D3-4085-B1C3-461A3B0B2F67}"/>
                    </c:ext>
                  </c:extLst>
                </c:dPt>
                <c:dPt>
                  <c:idx val="4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5-E5D3-4085-B1C3-461A3B0B2F67}"/>
                    </c:ext>
                  </c:extLst>
                </c:dPt>
                <c:dPt>
                  <c:idx val="4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7-E5D3-4085-B1C3-461A3B0B2F67}"/>
                    </c:ext>
                  </c:extLst>
                </c:dPt>
                <c:dPt>
                  <c:idx val="4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9-E5D3-4085-B1C3-461A3B0B2F67}"/>
                    </c:ext>
                  </c:extLst>
                </c:dPt>
                <c:dPt>
                  <c:idx val="5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B-E5D3-4085-B1C3-461A3B0B2F67}"/>
                    </c:ext>
                  </c:extLst>
                </c:dPt>
                <c:dPt>
                  <c:idx val="5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D-E5D3-4085-B1C3-461A3B0B2F67}"/>
                    </c:ext>
                  </c:extLst>
                </c:dPt>
                <c:dPt>
                  <c:idx val="5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2F-E5D3-4085-B1C3-461A3B0B2F67}"/>
                    </c:ext>
                  </c:extLst>
                </c:dPt>
                <c:dPt>
                  <c:idx val="5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1-E5D3-4085-B1C3-461A3B0B2F67}"/>
                    </c:ext>
                  </c:extLst>
                </c:dPt>
                <c:dPt>
                  <c:idx val="54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3-E5D3-4085-B1C3-461A3B0B2F67}"/>
                    </c:ext>
                  </c:extLst>
                </c:dPt>
                <c:dPt>
                  <c:idx val="55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5-E5D3-4085-B1C3-461A3B0B2F67}"/>
                    </c:ext>
                  </c:extLst>
                </c:dPt>
                <c:dPt>
                  <c:idx val="56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7-E5D3-4085-B1C3-461A3B0B2F67}"/>
                    </c:ext>
                  </c:extLst>
                </c:dPt>
                <c:dPt>
                  <c:idx val="57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9-E5D3-4085-B1C3-461A3B0B2F67}"/>
                    </c:ext>
                  </c:extLst>
                </c:dPt>
                <c:dPt>
                  <c:idx val="58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B-E5D3-4085-B1C3-461A3B0B2F67}"/>
                    </c:ext>
                  </c:extLst>
                </c:dPt>
                <c:dPt>
                  <c:idx val="59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D-E5D3-4085-B1C3-461A3B0B2F67}"/>
                    </c:ext>
                  </c:extLst>
                </c:dPt>
                <c:dPt>
                  <c:idx val="6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3F-E5D3-4085-B1C3-461A3B0B2F67}"/>
                    </c:ext>
                  </c:extLst>
                </c:dPt>
                <c:dPt>
                  <c:idx val="6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1-E5D3-4085-B1C3-461A3B0B2F67}"/>
                    </c:ext>
                  </c:extLst>
                </c:dPt>
                <c:dPt>
                  <c:idx val="6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3-E5D3-4085-B1C3-461A3B0B2F67}"/>
                    </c:ext>
                  </c:extLst>
                </c:dPt>
                <c:dPt>
                  <c:idx val="6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5-E5D3-4085-B1C3-461A3B0B2F67}"/>
                    </c:ext>
                  </c:extLst>
                </c:dPt>
                <c:dPt>
                  <c:idx val="6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7-E5D3-4085-B1C3-461A3B0B2F67}"/>
                    </c:ext>
                  </c:extLst>
                </c:dPt>
                <c:dPt>
                  <c:idx val="6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9-E5D3-4085-B1C3-461A3B0B2F67}"/>
                    </c:ext>
                  </c:extLst>
                </c:dPt>
                <c:dPt>
                  <c:idx val="6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B-E5D3-4085-B1C3-461A3B0B2F67}"/>
                    </c:ext>
                  </c:extLst>
                </c:dPt>
                <c:dPt>
                  <c:idx val="6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D-E5D3-4085-B1C3-461A3B0B2F67}"/>
                    </c:ext>
                  </c:extLst>
                </c:dPt>
                <c:dPt>
                  <c:idx val="6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4F-E5D3-4085-B1C3-461A3B0B2F67}"/>
                    </c:ext>
                  </c:extLst>
                </c:dPt>
                <c:dPt>
                  <c:idx val="6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1-E5D3-4085-B1C3-461A3B0B2F67}"/>
                    </c:ext>
                  </c:extLst>
                </c:dPt>
                <c:dPt>
                  <c:idx val="7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3-E5D3-4085-B1C3-461A3B0B2F67}"/>
                    </c:ext>
                  </c:extLst>
                </c:dPt>
                <c:dPt>
                  <c:idx val="7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5-E5D3-4085-B1C3-461A3B0B2F67}"/>
                    </c:ext>
                  </c:extLst>
                </c:dPt>
                <c:dPt>
                  <c:idx val="7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7-E5D3-4085-B1C3-461A3B0B2F67}"/>
                    </c:ext>
                  </c:extLst>
                </c:dPt>
                <c:dPt>
                  <c:idx val="7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9-E5D3-4085-B1C3-461A3B0B2F67}"/>
                    </c:ext>
                  </c:extLst>
                </c:dPt>
                <c:dPt>
                  <c:idx val="7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B-E5D3-4085-B1C3-461A3B0B2F67}"/>
                    </c:ext>
                  </c:extLst>
                </c:dPt>
                <c:dPt>
                  <c:idx val="7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D-E5D3-4085-B1C3-461A3B0B2F67}"/>
                    </c:ext>
                  </c:extLst>
                </c:dPt>
                <c:dPt>
                  <c:idx val="7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5F-E5D3-4085-B1C3-461A3B0B2F67}"/>
                    </c:ext>
                  </c:extLst>
                </c:dPt>
                <c:dPt>
                  <c:idx val="7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1-E5D3-4085-B1C3-461A3B0B2F67}"/>
                    </c:ext>
                  </c:extLst>
                </c:dPt>
                <c:dPt>
                  <c:idx val="7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3-E5D3-4085-B1C3-461A3B0B2F67}"/>
                    </c:ext>
                  </c:extLst>
                </c:dPt>
                <c:dPt>
                  <c:idx val="7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5-E5D3-4085-B1C3-461A3B0B2F67}"/>
                    </c:ext>
                  </c:extLst>
                </c:dPt>
                <c:dPt>
                  <c:idx val="8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7-E5D3-4085-B1C3-461A3B0B2F67}"/>
                    </c:ext>
                  </c:extLst>
                </c:dPt>
                <c:dPt>
                  <c:idx val="8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9-E5D3-4085-B1C3-461A3B0B2F67}"/>
                    </c:ext>
                  </c:extLst>
                </c:dPt>
                <c:dPt>
                  <c:idx val="8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B-E5D3-4085-B1C3-461A3B0B2F67}"/>
                    </c:ext>
                  </c:extLst>
                </c:dPt>
                <c:dPt>
                  <c:idx val="8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D-E5D3-4085-B1C3-461A3B0B2F67}"/>
                    </c:ext>
                  </c:extLst>
                </c:dPt>
                <c:dPt>
                  <c:idx val="8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6F-E5D3-4085-B1C3-461A3B0B2F67}"/>
                    </c:ext>
                  </c:extLst>
                </c:dPt>
                <c:dPt>
                  <c:idx val="8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1-E5D3-4085-B1C3-461A3B0B2F67}"/>
                    </c:ext>
                  </c:extLst>
                </c:dPt>
                <c:dPt>
                  <c:idx val="8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3-E5D3-4085-B1C3-461A3B0B2F67}"/>
                    </c:ext>
                  </c:extLst>
                </c:dPt>
                <c:dPt>
                  <c:idx val="8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5-E5D3-4085-B1C3-461A3B0B2F67}"/>
                    </c:ext>
                  </c:extLst>
                </c:dPt>
                <c:dPt>
                  <c:idx val="8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7-E5D3-4085-B1C3-461A3B0B2F67}"/>
                    </c:ext>
                  </c:extLst>
                </c:dPt>
                <c:dPt>
                  <c:idx val="8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9-E5D3-4085-B1C3-461A3B0B2F67}"/>
                    </c:ext>
                  </c:extLst>
                </c:dPt>
                <c:dPt>
                  <c:idx val="9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B-E5D3-4085-B1C3-461A3B0B2F67}"/>
                    </c:ext>
                  </c:extLst>
                </c:dPt>
                <c:dPt>
                  <c:idx val="9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D-E5D3-4085-B1C3-461A3B0B2F67}"/>
                    </c:ext>
                  </c:extLst>
                </c:dPt>
                <c:dPt>
                  <c:idx val="9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7F-E5D3-4085-B1C3-461A3B0B2F67}"/>
                    </c:ext>
                  </c:extLst>
                </c:dPt>
                <c:dPt>
                  <c:idx val="9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1-E5D3-4085-B1C3-461A3B0B2F67}"/>
                    </c:ext>
                  </c:extLst>
                </c:dPt>
                <c:dPt>
                  <c:idx val="9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3-E5D3-4085-B1C3-461A3B0B2F67}"/>
                    </c:ext>
                  </c:extLst>
                </c:dPt>
                <c:dPt>
                  <c:idx val="9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5-E5D3-4085-B1C3-461A3B0B2F67}"/>
                    </c:ext>
                  </c:extLst>
                </c:dPt>
                <c:dPt>
                  <c:idx val="9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7-E5D3-4085-B1C3-461A3B0B2F67}"/>
                    </c:ext>
                  </c:extLst>
                </c:dPt>
                <c:dPt>
                  <c:idx val="9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9-E5D3-4085-B1C3-461A3B0B2F67}"/>
                    </c:ext>
                  </c:extLst>
                </c:dPt>
                <c:dPt>
                  <c:idx val="9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>
                    <c:ext xmlns:c16="http://schemas.microsoft.com/office/drawing/2014/chart" uri="{C3380CC4-5D6E-409C-BE32-E72D297353CC}">
                      <c16:uniqueId val="{0000018B-E5D3-4085-B1C3-461A3B0B2F67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'Compta (2)'!$C$647:$C$745</c15:sqref>
                        </c15:formulaRef>
                      </c:ext>
                    </c:extLst>
                    <c:strCache>
                      <c:ptCount val="99"/>
                      <c:pt idx="0">
                        <c:v>Licences</c:v>
                      </c:pt>
                      <c:pt idx="1">
                        <c:v>droits de mutation</c:v>
                      </c:pt>
                      <c:pt idx="2">
                        <c:v>Assurances individuelles</c:v>
                      </c:pt>
                      <c:pt idx="3">
                        <c:v>Engagements sports collectifs national et +</c:v>
                      </c:pt>
                      <c:pt idx="4">
                        <c:v>Engagements sports collectifs régional et -</c:v>
                      </c:pt>
                      <c:pt idx="5">
                        <c:v>Engagements sports individuels national et +</c:v>
                      </c:pt>
                      <c:pt idx="6">
                        <c:v>Engagements sports individuels régional et -</c:v>
                      </c:pt>
                      <c:pt idx="8">
                        <c:v>Charges diverses de gestion courante</c:v>
                      </c:pt>
                      <c:pt idx="10">
                        <c:v>Subvention du C.A.</c:v>
                      </c:pt>
                      <c:pt idx="11">
                        <c:v>Rétrocession de subvention spécifique communale</c:v>
                      </c:pt>
                      <c:pt idx="12">
                        <c:v>Rétrocession de subvention spécifique départementale</c:v>
                      </c:pt>
                      <c:pt idx="13">
                        <c:v>Rétrocession de subvention spécifique nationale</c:v>
                      </c:pt>
                      <c:pt idx="15">
                        <c:v>Personnel administratif</c:v>
                      </c:pt>
                      <c:pt idx="16">
                        <c:v>Personnel encadrement technique</c:v>
                      </c:pt>
                      <c:pt idx="17">
                        <c:v>Personnel joueurs</c:v>
                      </c:pt>
                      <c:pt idx="19">
                        <c:v>Cotisations URSSAF</c:v>
                      </c:pt>
                      <c:pt idx="20">
                        <c:v>Cotisations aux caisses de retraite</c:v>
                      </c:pt>
                      <c:pt idx="21">
                        <c:v>Cotisations aux ASSEDIC</c:v>
                      </c:pt>
                      <c:pt idx="22">
                        <c:v>Cotisations de prévoyance</c:v>
                      </c:pt>
                      <c:pt idx="23">
                        <c:v>Cotisations Uniformation</c:v>
                      </c:pt>
                      <c:pt idx="25">
                        <c:v>Prélèvement à la source</c:v>
                      </c:pt>
                      <c:pt idx="26">
                        <c:v>Charges sociales versées au Comité Directeur</c:v>
                      </c:pt>
                      <c:pt idx="28">
                        <c:v>Médecine du travail</c:v>
                      </c:pt>
                      <c:pt idx="30">
                        <c:v>Rbt ANCV chèques vacances aux sections</c:v>
                      </c:pt>
                      <c:pt idx="31">
                        <c:v>Rbt ANCV coupons cports aux sections</c:v>
                      </c:pt>
                      <c:pt idx="33">
                        <c:v>Taxe sur les salaires</c:v>
                      </c:pt>
                      <c:pt idx="34">
                        <c:v>Taxe d'apprentissage</c:v>
                      </c:pt>
                      <c:pt idx="35">
                        <c:v>Formation professionnelle</c:v>
                      </c:pt>
                      <c:pt idx="36">
                        <c:v>Participation à l'effort de construction</c:v>
                      </c:pt>
                      <c:pt idx="38">
                        <c:v>Achats de matériel</c:v>
                      </c:pt>
                      <c:pt idx="39">
                        <c:v>Achats d'équipements sportifs</c:v>
                      </c:pt>
                      <c:pt idx="40">
                        <c:v>Achats d'équipements pour entraineurs</c:v>
                      </c:pt>
                      <c:pt idx="41">
                        <c:v>Achats d'équipements pour sportifs</c:v>
                      </c:pt>
                      <c:pt idx="42">
                        <c:v>Achats de coupes, trophées, médailles</c:v>
                      </c:pt>
                      <c:pt idx="44">
                        <c:v>Fournitures non stockables</c:v>
                      </c:pt>
                      <c:pt idx="45">
                        <c:v>Fournitures d'entretien et petit matériel</c:v>
                      </c:pt>
                      <c:pt idx="46">
                        <c:v>Fournitures administratives</c:v>
                      </c:pt>
                      <c:pt idx="47">
                        <c:v>Fourniture médicales</c:v>
                      </c:pt>
                      <c:pt idx="48">
                        <c:v>Fournitures diverses</c:v>
                      </c:pt>
                      <c:pt idx="50">
                        <c:v>Achats aliments</c:v>
                      </c:pt>
                      <c:pt idx="51">
                        <c:v>Achats boissons</c:v>
                      </c:pt>
                      <c:pt idx="52">
                        <c:v>Achats insignes, fanions, accessoires, gadgets…</c:v>
                      </c:pt>
                      <c:pt idx="53">
                        <c:v>Achats livres, brochures, guides sportifs…</c:v>
                      </c:pt>
                      <c:pt idx="54">
                        <c:v>Achats articles de sports</c:v>
                      </c:pt>
                      <c:pt idx="59">
                        <c:v>Locations immobilières</c:v>
                      </c:pt>
                      <c:pt idx="60">
                        <c:v>Locations de matériel</c:v>
                      </c:pt>
                      <c:pt idx="61">
                        <c:v>Locations de véhicules</c:v>
                      </c:pt>
                      <c:pt idx="63">
                        <c:v>Entretien et réparation sur bien immobilier</c:v>
                      </c:pt>
                      <c:pt idx="64">
                        <c:v>Entretien et réparation sur bien mobilier</c:v>
                      </c:pt>
                      <c:pt idx="65">
                        <c:v>Contrat de maintenance</c:v>
                      </c:pt>
                      <c:pt idx="67">
                        <c:v>Assurance Responsabilité Civile</c:v>
                      </c:pt>
                      <c:pt idx="68">
                        <c:v>Assurance Multirisque, incendie, vol…</c:v>
                      </c:pt>
                      <c:pt idx="69">
                        <c:v>Assurance Véhicules</c:v>
                      </c:pt>
                      <c:pt idx="70">
                        <c:v>Autres assurance</c:v>
                      </c:pt>
                      <c:pt idx="72">
                        <c:v>Documentation générale</c:v>
                      </c:pt>
                      <c:pt idx="73">
                        <c:v>Documentation technique</c:v>
                      </c:pt>
                      <c:pt idx="74">
                        <c:v>Formation</c:v>
                      </c:pt>
                      <c:pt idx="75">
                        <c:v>Frais de colloques, séminaires, conférances…</c:v>
                      </c:pt>
                      <c:pt idx="77">
                        <c:v>Expert-comptable</c:v>
                      </c:pt>
                      <c:pt idx="78">
                        <c:v>Avocat</c:v>
                      </c:pt>
                      <c:pt idx="79">
                        <c:v>Médecins et kinés</c:v>
                      </c:pt>
                      <c:pt idx="80">
                        <c:v>Autres honoraires</c:v>
                      </c:pt>
                      <c:pt idx="81">
                        <c:v>Frais d'actes et de contentieux</c:v>
                      </c:pt>
                      <c:pt idx="83">
                        <c:v>Annonces et insertions</c:v>
                      </c:pt>
                      <c:pt idx="84">
                        <c:v>Expositions</c:v>
                      </c:pt>
                      <c:pt idx="85">
                        <c:v>Dépliants et imprimés</c:v>
                      </c:pt>
                      <c:pt idx="86">
                        <c:v>Publications</c:v>
                      </c:pt>
                      <c:pt idx="88">
                        <c:v>Déplacements sports collectifs niveau national et +</c:v>
                      </c:pt>
                      <c:pt idx="89">
                        <c:v>Déplacements sports collectifs niveau régional et -</c:v>
                      </c:pt>
                      <c:pt idx="90">
                        <c:v>Déplacements sports individuels niveau national et +</c:v>
                      </c:pt>
                      <c:pt idx="91">
                        <c:v>Déplacements sports individuels niveau régional et -</c:v>
                      </c:pt>
                      <c:pt idx="92">
                        <c:v>Stages</c:v>
                      </c:pt>
                      <c:pt idx="93">
                        <c:v>Déplacements du personnel</c:v>
                      </c:pt>
                      <c:pt idx="94">
                        <c:v>Missions</c:v>
                      </c:pt>
                      <c:pt idx="95">
                        <c:v>Réceptions</c:v>
                      </c:pt>
                      <c:pt idx="96">
                        <c:v>Déplacements des bénévoles</c:v>
                      </c:pt>
                      <c:pt idx="98">
                        <c:v>Affranchissements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'Compta (2)'!$E$647:$E$745</c15:sqref>
                        </c15:formulaRef>
                      </c:ext>
                    </c:extLst>
                    <c:numCache>
                      <c:formatCode>_-* #\ ##0.00\ [$€-1]_-;\-* #\ ##0.00\ [$€-1]_-;_-* "-"??\ [$€-1]_-</c:formatCode>
                      <c:ptCount val="9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BF5-43A9-B5B8-94051C060FDD}"/>
                  </c:ext>
                </c:extLst>
              </c15:ser>
            </c15:filteredPieSeries>
            <c15:filteredPieSeries>
              <c15:ser>
                <c:idx val="2"/>
                <c:order val="2"/>
                <c:dPt>
                  <c:idx val="0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3-0BF5-43A9-B5B8-94051C060FDD}"/>
                    </c:ext>
                  </c:extLst>
                </c:dPt>
                <c:dPt>
                  <c:idx val="1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7-5EE6-451F-9AA9-2FE5C4708B44}"/>
                    </c:ext>
                  </c:extLst>
                </c:dPt>
                <c:dPt>
                  <c:idx val="2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9-5EE6-451F-9AA9-2FE5C4708B44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>
                        <a:lumMod val="60000"/>
                        <a:lumOff val="40000"/>
                      </a:schemeClr>
                    </a:soli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B-5EE6-451F-9AA9-2FE5C4708B44}"/>
                    </c:ext>
                  </c:extLst>
                </c:dPt>
                <c:dPt>
                  <c:idx val="4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D-5EE6-451F-9AA9-2FE5C4708B44}"/>
                    </c:ext>
                  </c:extLst>
                </c:dPt>
                <c:dPt>
                  <c:idx val="5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D-0BF5-43A9-B5B8-94051C060FDD}"/>
                    </c:ext>
                  </c:extLst>
                </c:dPt>
                <c:dPt>
                  <c:idx val="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F-0BF5-43A9-B5B8-94051C060FDD}"/>
                    </c:ext>
                  </c:extLst>
                </c:dPt>
                <c:dPt>
                  <c:idx val="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4F-5EE6-451F-9AA9-2FE5C4708B44}"/>
                    </c:ext>
                  </c:extLst>
                </c:dPt>
                <c:dPt>
                  <c:idx val="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1-5EE6-451F-9AA9-2FE5C4708B44}"/>
                    </c:ext>
                  </c:extLst>
                </c:dPt>
                <c:dPt>
                  <c:idx val="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3-5EE6-451F-9AA9-2FE5C4708B44}"/>
                    </c:ext>
                  </c:extLst>
                </c:dPt>
                <c:dPt>
                  <c:idx val="1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5-5EE6-451F-9AA9-2FE5C4708B44}"/>
                    </c:ext>
                  </c:extLst>
                </c:dPt>
                <c:dPt>
                  <c:idx val="1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7-5EE6-451F-9AA9-2FE5C4708B44}"/>
                    </c:ext>
                  </c:extLst>
                </c:dPt>
                <c:dPt>
                  <c:idx val="1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9-5EE6-451F-9AA9-2FE5C4708B44}"/>
                    </c:ext>
                  </c:extLst>
                </c:dPt>
                <c:dPt>
                  <c:idx val="1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B-5EE6-451F-9AA9-2FE5C4708B44}"/>
                    </c:ext>
                  </c:extLst>
                </c:dPt>
                <c:dPt>
                  <c:idx val="1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D-5EE6-451F-9AA9-2FE5C4708B44}"/>
                    </c:ext>
                  </c:extLst>
                </c:dPt>
                <c:dPt>
                  <c:idx val="1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5F-5EE6-451F-9AA9-2FE5C4708B44}"/>
                    </c:ext>
                  </c:extLst>
                </c:dPt>
                <c:dPt>
                  <c:idx val="1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3-0BF5-43A9-B5B8-94051C060FDD}"/>
                    </c:ext>
                  </c:extLst>
                </c:dPt>
                <c:dPt>
                  <c:idx val="1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1-5EE6-451F-9AA9-2FE5C4708B44}"/>
                    </c:ext>
                  </c:extLst>
                </c:dPt>
                <c:dPt>
                  <c:idx val="1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3-5EE6-451F-9AA9-2FE5C4708B44}"/>
                    </c:ext>
                  </c:extLst>
                </c:dPt>
                <c:dPt>
                  <c:idx val="1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5-5EE6-451F-9AA9-2FE5C4708B44}"/>
                    </c:ext>
                  </c:extLst>
                </c:dPt>
                <c:dPt>
                  <c:idx val="2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7-5EE6-451F-9AA9-2FE5C4708B44}"/>
                    </c:ext>
                  </c:extLst>
                </c:dPt>
                <c:dPt>
                  <c:idx val="2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9-5EE6-451F-9AA9-2FE5C4708B44}"/>
                    </c:ext>
                  </c:extLst>
                </c:dPt>
                <c:dPt>
                  <c:idx val="2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B-5EE6-451F-9AA9-2FE5C4708B44}"/>
                    </c:ext>
                  </c:extLst>
                </c:dPt>
                <c:dPt>
                  <c:idx val="2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D-5EE6-451F-9AA9-2FE5C4708B44}"/>
                    </c:ext>
                  </c:extLst>
                </c:dPt>
                <c:dPt>
                  <c:idx val="2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6F-5EE6-451F-9AA9-2FE5C4708B44}"/>
                    </c:ext>
                  </c:extLst>
                </c:dPt>
                <c:dPt>
                  <c:idx val="2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A4D4-452D-A838-39069FCED7AC}"/>
                    </c:ext>
                  </c:extLst>
                </c:dPt>
                <c:dPt>
                  <c:idx val="2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D-A4D4-452D-A838-39069FCED7AC}"/>
                    </c:ext>
                  </c:extLst>
                </c:dPt>
                <c:dPt>
                  <c:idx val="2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1-5EE6-451F-9AA9-2FE5C4708B44}"/>
                    </c:ext>
                  </c:extLst>
                </c:dPt>
                <c:dPt>
                  <c:idx val="2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3-5EE6-451F-9AA9-2FE5C4708B44}"/>
                    </c:ext>
                  </c:extLst>
                </c:dPt>
                <c:dPt>
                  <c:idx val="2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5-5EE6-451F-9AA9-2FE5C4708B44}"/>
                    </c:ext>
                  </c:extLst>
                </c:dPt>
                <c:dPt>
                  <c:idx val="3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7-5EE6-451F-9AA9-2FE5C4708B44}"/>
                    </c:ext>
                  </c:extLst>
                </c:dPt>
                <c:dPt>
                  <c:idx val="3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9-5EE6-451F-9AA9-2FE5C4708B44}"/>
                    </c:ext>
                  </c:extLst>
                </c:dPt>
                <c:dPt>
                  <c:idx val="3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B-5EE6-451F-9AA9-2FE5C4708B44}"/>
                    </c:ext>
                  </c:extLst>
                </c:dPt>
                <c:dPt>
                  <c:idx val="3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D-5EE6-451F-9AA9-2FE5C4708B44}"/>
                    </c:ext>
                  </c:extLst>
                </c:dPt>
                <c:dPt>
                  <c:idx val="3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7F-5EE6-451F-9AA9-2FE5C4708B44}"/>
                    </c:ext>
                  </c:extLst>
                </c:dPt>
                <c:dPt>
                  <c:idx val="3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F-A4D4-452D-A838-39069FCED7AC}"/>
                    </c:ext>
                  </c:extLst>
                </c:dPt>
                <c:dPt>
                  <c:idx val="3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1-5EE6-451F-9AA9-2FE5C4708B44}"/>
                    </c:ext>
                  </c:extLst>
                </c:dPt>
                <c:dPt>
                  <c:idx val="3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3-5EE6-451F-9AA9-2FE5C4708B44}"/>
                    </c:ext>
                  </c:extLst>
                </c:dPt>
                <c:dPt>
                  <c:idx val="3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5-5EE6-451F-9AA9-2FE5C4708B44}"/>
                    </c:ext>
                  </c:extLst>
                </c:dPt>
                <c:dPt>
                  <c:idx val="3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7-A4D4-452D-A838-39069FCED7AC}"/>
                    </c:ext>
                  </c:extLst>
                </c:dPt>
                <c:dPt>
                  <c:idx val="4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7-5EE6-451F-9AA9-2FE5C4708B44}"/>
                    </c:ext>
                  </c:extLst>
                </c:dPt>
                <c:dPt>
                  <c:idx val="4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B-A4D4-452D-A838-39069FCED7AC}"/>
                    </c:ext>
                  </c:extLst>
                </c:dPt>
                <c:dPt>
                  <c:idx val="4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D-A4D4-452D-A838-39069FCED7AC}"/>
                    </c:ext>
                  </c:extLst>
                </c:dPt>
                <c:dPt>
                  <c:idx val="4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9-5EE6-451F-9AA9-2FE5C4708B44}"/>
                    </c:ext>
                  </c:extLst>
                </c:dPt>
                <c:dPt>
                  <c:idx val="4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1-A4D4-452D-A838-39069FCED7AC}"/>
                    </c:ext>
                  </c:extLst>
                </c:dPt>
                <c:dPt>
                  <c:idx val="4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3-A4D4-452D-A838-39069FCED7AC}"/>
                    </c:ext>
                  </c:extLst>
                </c:dPt>
                <c:dPt>
                  <c:idx val="4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5-A4D4-452D-A838-39069FCED7AC}"/>
                    </c:ext>
                  </c:extLst>
                </c:dPt>
                <c:dPt>
                  <c:idx val="4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B-5EE6-451F-9AA9-2FE5C4708B44}"/>
                    </c:ext>
                  </c:extLst>
                </c:dPt>
                <c:dPt>
                  <c:idx val="4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9-A4D4-452D-A838-39069FCED7AC}"/>
                    </c:ext>
                  </c:extLst>
                </c:dPt>
                <c:dPt>
                  <c:idx val="4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D-5EE6-451F-9AA9-2FE5C4708B44}"/>
                    </c:ext>
                  </c:extLst>
                </c:dPt>
                <c:dPt>
                  <c:idx val="5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5-CA28-4CF3-8212-683AEC626A05}"/>
                    </c:ext>
                  </c:extLst>
                </c:dPt>
                <c:dPt>
                  <c:idx val="5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F-A4D4-452D-A838-39069FCED7AC}"/>
                    </c:ext>
                  </c:extLst>
                </c:dPt>
                <c:dPt>
                  <c:idx val="5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8F-5EE6-451F-9AA9-2FE5C4708B44}"/>
                    </c:ext>
                  </c:extLst>
                </c:dPt>
                <c:dPt>
                  <c:idx val="5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lumOff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lumOff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Off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1-5EE6-451F-9AA9-2FE5C4708B44}"/>
                    </c:ext>
                  </c:extLst>
                </c:dPt>
                <c:dPt>
                  <c:idx val="54"/>
                  <c:bubble3D val="0"/>
                  <c:spPr>
                    <a:gradFill rotWithShape="1">
                      <a:gsLst>
                        <a:gs pos="0">
                          <a:schemeClr val="accent1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3-5EE6-451F-9AA9-2FE5C4708B44}"/>
                    </c:ext>
                  </c:extLst>
                </c:dPt>
                <c:dPt>
                  <c:idx val="55"/>
                  <c:bubble3D val="0"/>
                  <c:spPr>
                    <a:gradFill rotWithShape="1">
                      <a:gsLst>
                        <a:gs pos="0">
                          <a:schemeClr val="accent2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5-5EE6-451F-9AA9-2FE5C4708B44}"/>
                    </c:ext>
                  </c:extLst>
                </c:dPt>
                <c:dPt>
                  <c:idx val="56"/>
                  <c:bubble3D val="0"/>
                  <c:spPr>
                    <a:gradFill rotWithShape="1">
                      <a:gsLst>
                        <a:gs pos="0">
                          <a:schemeClr val="accent3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7-5EE6-451F-9AA9-2FE5C4708B44}"/>
                    </c:ext>
                  </c:extLst>
                </c:dPt>
                <c:dPt>
                  <c:idx val="57"/>
                  <c:bubble3D val="0"/>
                  <c:spPr>
                    <a:gradFill rotWithShape="1">
                      <a:gsLst>
                        <a:gs pos="0">
                          <a:schemeClr val="accent4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9-5EE6-451F-9AA9-2FE5C4708B44}"/>
                    </c:ext>
                  </c:extLst>
                </c:dPt>
                <c:dPt>
                  <c:idx val="58"/>
                  <c:bubble3D val="0"/>
                  <c:spPr>
                    <a:gradFill rotWithShape="1">
                      <a:gsLst>
                        <a:gs pos="0">
                          <a:schemeClr val="accent5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B-5EE6-451F-9AA9-2FE5C4708B44}"/>
                    </c:ext>
                  </c:extLst>
                </c:dPt>
                <c:dPt>
                  <c:idx val="59"/>
                  <c:bubble3D val="0"/>
                  <c:spPr>
                    <a:gradFill rotWithShape="1">
                      <a:gsLst>
                        <a:gs pos="0">
                          <a:schemeClr val="accent6"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D-5EE6-451F-9AA9-2FE5C4708B44}"/>
                    </c:ext>
                  </c:extLst>
                </c:dPt>
                <c:dPt>
                  <c:idx val="6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9F-5EE6-451F-9AA9-2FE5C4708B44}"/>
                    </c:ext>
                  </c:extLst>
                </c:dPt>
                <c:dPt>
                  <c:idx val="6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1-5EE6-451F-9AA9-2FE5C4708B44}"/>
                    </c:ext>
                  </c:extLst>
                </c:dPt>
                <c:dPt>
                  <c:idx val="6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3-5EE6-451F-9AA9-2FE5C4708B44}"/>
                    </c:ext>
                  </c:extLst>
                </c:dPt>
                <c:dPt>
                  <c:idx val="6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5-5EE6-451F-9AA9-2FE5C4708B44}"/>
                    </c:ext>
                  </c:extLst>
                </c:dPt>
                <c:dPt>
                  <c:idx val="6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7-5EE6-451F-9AA9-2FE5C4708B44}"/>
                    </c:ext>
                  </c:extLst>
                </c:dPt>
                <c:dPt>
                  <c:idx val="6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9-5EE6-451F-9AA9-2FE5C4708B44}"/>
                    </c:ext>
                  </c:extLst>
                </c:dPt>
                <c:dPt>
                  <c:idx val="6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B-5EE6-451F-9AA9-2FE5C4708B44}"/>
                    </c:ext>
                  </c:extLst>
                </c:dPt>
                <c:dPt>
                  <c:idx val="6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D-5EE6-451F-9AA9-2FE5C4708B44}"/>
                    </c:ext>
                  </c:extLst>
                </c:dPt>
                <c:dPt>
                  <c:idx val="6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1-A4D4-452D-A838-39069FCED7AC}"/>
                    </c:ext>
                  </c:extLst>
                </c:dPt>
                <c:dPt>
                  <c:idx val="69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3-A4D4-452D-A838-39069FCED7AC}"/>
                    </c:ext>
                  </c:extLst>
                </c:dPt>
                <c:dPt>
                  <c:idx val="70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AF-5EE6-451F-9AA9-2FE5C4708B44}"/>
                    </c:ext>
                  </c:extLst>
                </c:dPt>
                <c:dPt>
                  <c:idx val="71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lumOff val="2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lumOff val="2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Off val="2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1-5EE6-451F-9AA9-2FE5C4708B44}"/>
                    </c:ext>
                  </c:extLst>
                </c:dPt>
                <c:dPt>
                  <c:idx val="72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3-5EE6-451F-9AA9-2FE5C4708B44}"/>
                    </c:ext>
                  </c:extLst>
                </c:dPt>
                <c:dPt>
                  <c:idx val="73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5-5EE6-451F-9AA9-2FE5C4708B44}"/>
                    </c:ext>
                  </c:extLst>
                </c:dPt>
                <c:dPt>
                  <c:idx val="74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ED-A4D4-452D-A838-39069FCED7AC}"/>
                    </c:ext>
                  </c:extLst>
                </c:dPt>
                <c:dPt>
                  <c:idx val="75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7-5EE6-451F-9AA9-2FE5C4708B44}"/>
                    </c:ext>
                  </c:extLst>
                </c:dPt>
                <c:dPt>
                  <c:idx val="76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9-5EE6-451F-9AA9-2FE5C4708B44}"/>
                    </c:ext>
                  </c:extLst>
                </c:dPt>
                <c:dPt>
                  <c:idx val="77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8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8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8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3-A4D4-452D-A838-39069FCED7AC}"/>
                    </c:ext>
                  </c:extLst>
                </c:dPt>
                <c:dPt>
                  <c:idx val="78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B-5EE6-451F-9AA9-2FE5C4708B44}"/>
                    </c:ext>
                  </c:extLst>
                </c:dPt>
                <c:dPt>
                  <c:idx val="79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F7-A4D4-452D-A838-39069FCED7AC}"/>
                    </c:ext>
                  </c:extLst>
                </c:dPt>
                <c:dPt>
                  <c:idx val="80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D-5EE6-451F-9AA9-2FE5C4708B44}"/>
                    </c:ext>
                  </c:extLst>
                </c:dPt>
                <c:dPt>
                  <c:idx val="81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BF-5EE6-451F-9AA9-2FE5C4708B44}"/>
                    </c:ext>
                  </c:extLst>
                </c:dPt>
                <c:dPt>
                  <c:idx val="82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1-5EE6-451F-9AA9-2FE5C4708B44}"/>
                    </c:ext>
                  </c:extLst>
                </c:dPt>
                <c:dPt>
                  <c:idx val="83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60000"/>
                            <a:lumOff val="4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60000"/>
                            <a:lumOff val="4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60000"/>
                            <a:lumOff val="4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3-5EE6-451F-9AA9-2FE5C4708B44}"/>
                    </c:ext>
                  </c:extLst>
                </c:dPt>
                <c:dPt>
                  <c:idx val="84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5-5EE6-451F-9AA9-2FE5C4708B44}"/>
                    </c:ext>
                  </c:extLst>
                </c:dPt>
                <c:dPt>
                  <c:idx val="85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7-5EE6-451F-9AA9-2FE5C4708B44}"/>
                    </c:ext>
                  </c:extLst>
                </c:dPt>
                <c:dPt>
                  <c:idx val="86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5-A4D4-452D-A838-39069FCED7AC}"/>
                    </c:ext>
                  </c:extLst>
                </c:dPt>
                <c:dPt>
                  <c:idx val="87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9-5EE6-451F-9AA9-2FE5C4708B44}"/>
                    </c:ext>
                  </c:extLst>
                </c:dPt>
                <c:dPt>
                  <c:idx val="88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B-5EE6-451F-9AA9-2FE5C4708B44}"/>
                    </c:ext>
                  </c:extLst>
                </c:dPt>
                <c:dPt>
                  <c:idx val="89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5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5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5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D-5EE6-451F-9AA9-2FE5C4708B44}"/>
                    </c:ext>
                  </c:extLst>
                </c:dPt>
                <c:dPt>
                  <c:idx val="90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0D-A4D4-452D-A838-39069FCED7AC}"/>
                    </c:ext>
                  </c:extLst>
                </c:dPt>
                <c:dPt>
                  <c:idx val="91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CF-5EE6-451F-9AA9-2FE5C4708B44}"/>
                    </c:ext>
                  </c:extLst>
                </c:dPt>
                <c:dPt>
                  <c:idx val="92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1-A4D4-452D-A838-39069FCED7AC}"/>
                    </c:ext>
                  </c:extLst>
                </c:dPt>
                <c:dPt>
                  <c:idx val="93"/>
                  <c:bubble3D val="0"/>
                  <c:spPr>
                    <a:gradFill rotWithShape="1">
                      <a:gsLst>
                        <a:gs pos="0">
                          <a:schemeClr val="accent4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4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4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3-A4D4-452D-A838-39069FCED7AC}"/>
                    </c:ext>
                  </c:extLst>
                </c:dPt>
                <c:dPt>
                  <c:idx val="94"/>
                  <c:bubble3D val="0"/>
                  <c:spPr>
                    <a:gradFill rotWithShape="1">
                      <a:gsLst>
                        <a:gs pos="0">
                          <a:schemeClr val="accent5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5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5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1-5EE6-451F-9AA9-2FE5C4708B44}"/>
                    </c:ext>
                  </c:extLst>
                </c:dPt>
                <c:dPt>
                  <c:idx val="95"/>
                  <c:bubble3D val="0"/>
                  <c:spPr>
                    <a:gradFill rotWithShape="1">
                      <a:gsLst>
                        <a:gs pos="0">
                          <a:schemeClr val="accent6">
                            <a:lumMod val="70000"/>
                            <a:lumOff val="3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6">
                            <a:lumMod val="70000"/>
                            <a:lumOff val="3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6">
                            <a:lumMod val="70000"/>
                            <a:lumOff val="3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3-5EE6-451F-9AA9-2FE5C4708B44}"/>
                    </c:ext>
                  </c:extLst>
                </c:dPt>
                <c:dPt>
                  <c:idx val="96"/>
                  <c:bubble3D val="0"/>
                  <c:spPr>
                    <a:gradFill rotWithShape="1">
                      <a:gsLst>
                        <a:gs pos="0">
                          <a:schemeClr val="accent1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1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1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9-A4D4-452D-A838-39069FCED7AC}"/>
                    </c:ext>
                  </c:extLst>
                </c:dPt>
                <c:dPt>
                  <c:idx val="97"/>
                  <c:bubble3D val="0"/>
                  <c:spPr>
                    <a:gradFill rotWithShape="1">
                      <a:gsLst>
                        <a:gs pos="0">
                          <a:schemeClr val="accent2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2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2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D5-5EE6-451F-9AA9-2FE5C4708B44}"/>
                    </c:ext>
                  </c:extLst>
                </c:dPt>
                <c:dPt>
                  <c:idx val="98"/>
                  <c:bubble3D val="0"/>
                  <c:spPr>
                    <a:gradFill rotWithShape="1">
                      <a:gsLst>
                        <a:gs pos="0">
                          <a:schemeClr val="accent3">
                            <a:lumMod val="70000"/>
                            <a:satMod val="103000"/>
                            <a:lumMod val="102000"/>
                            <a:tint val="94000"/>
                          </a:schemeClr>
                        </a:gs>
                        <a:gs pos="50000">
                          <a:schemeClr val="accent3">
                            <a:lumMod val="70000"/>
                            <a:satMod val="110000"/>
                            <a:lumMod val="100000"/>
                            <a:shade val="100000"/>
                          </a:schemeClr>
                        </a:gs>
                        <a:gs pos="100000">
                          <a:schemeClr val="accent3">
                            <a:lumMod val="70000"/>
                            <a:lumMod val="99000"/>
                            <a:satMod val="120000"/>
                            <a:shade val="78000"/>
                          </a:schemeClr>
                        </a:gs>
                      </a:gsLst>
                      <a:lin ang="5400000" scaled="0"/>
                    </a:gradFill>
                    <a:ln>
                      <a:noFill/>
                    </a:ln>
                    <a:effectLst>
                      <a:outerShdw blurRad="57150" dist="19050" dir="5400000" algn="ctr" rotWithShape="0">
                        <a:srgbClr val="000000">
                          <a:alpha val="63000"/>
                        </a:srgbClr>
                      </a:outerShdw>
                    </a:effectLst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11D-A4D4-452D-A838-39069FCED7AC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4.691523550810929E-2"/>
                        <c:y val="-5.9890716273161233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3-0BF5-43A9-B5B8-94051C060FDD}"/>
                      </c:ext>
                    </c:extLst>
                  </c:dLbl>
                  <c:dLbl>
                    <c:idx val="1"/>
                    <c:layout>
                      <c:manualLayout>
                        <c:x val="1.5399900645802286E-2"/>
                        <c:y val="-6.0319557136576205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885558828246319"/>
                            <c:h val="7.3793650159212312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47-5EE6-451F-9AA9-2FE5C4708B44}"/>
                      </c:ext>
                    </c:extLst>
                  </c:dLbl>
                  <c:dLbl>
                    <c:idx val="2"/>
                    <c:layout>
                      <c:manualLayout>
                        <c:x val="0.10540604183046419"/>
                        <c:y val="6.6113753547304048E-3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7990197574036479"/>
                            <c:h val="7.173228346456693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49-5EE6-451F-9AA9-2FE5C4708B44}"/>
                      </c:ext>
                    </c:extLst>
                  </c:dLbl>
                  <c:dLbl>
                    <c:idx val="3"/>
                    <c:layout>
                      <c:manualLayout>
                        <c:x val="7.1534983238868463E-2"/>
                        <c:y val="-1.4496982293456973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B1C271EF-18C0-4E3F-B223-718756BCF03B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3B1009E3-31EF-451B-9A17-B3D39B972297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E1665075-4632-47F5-87F2-EAC848683521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7791450062780897"/>
                            <c:h val="6.4223190375314765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4B-5EE6-451F-9AA9-2FE5C4708B44}"/>
                      </c:ext>
                    </c:extLst>
                  </c:dLbl>
                  <c:dLbl>
                    <c:idx val="4"/>
                    <c:layout>
                      <c:manualLayout>
                        <c:x val="9.4418797501281043E-2"/>
                        <c:y val="-4.6217408103175046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225EDDFD-EF15-4C32-B874-7FC995A582B6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C90F45FC-163E-4576-92D3-AA00C8D5FE0E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7700B8C6-B7ED-4320-8CA6-347AC02A984E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5771665278054851"/>
                            <c:h val="3.7354277415830632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4D-5EE6-451F-9AA9-2FE5C4708B44}"/>
                      </c:ext>
                    </c:extLst>
                  </c:dLbl>
                  <c:dLbl>
                    <c:idx val="5"/>
                    <c:layout>
                      <c:manualLayout>
                        <c:x val="0.10110497462275145"/>
                        <c:y val="-0.12429967076434405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408956100704014"/>
                            <c:h val="3.0504404771185781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0D-0BF5-43A9-B5B8-94051C060FDD}"/>
                      </c:ext>
                    </c:extLst>
                  </c:dLbl>
                  <c:dLbl>
                    <c:idx val="6"/>
                    <c:layout>
                      <c:manualLayout>
                        <c:x val="6.7431460780143032E-2"/>
                        <c:y val="-3.4189541556324768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E1EB15EC-F123-498A-B4A3-1CFEA2146E45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8A63DD3D-C929-43B9-82D7-FCAD8BFABAB4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2A88DD8A-C576-40AE-AE03-BC2CA15C3D53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3827965789696592"/>
                            <c:h val="5.9951221020141741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F-0BF5-43A9-B5B8-94051C060FDD}"/>
                      </c:ext>
                    </c:extLst>
                  </c:dLbl>
                  <c:dLbl>
                    <c:idx val="7"/>
                    <c:layout>
                      <c:manualLayout>
                        <c:x val="0.2057389819720806"/>
                        <c:y val="2.820123372903262E-3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7450446115994065"/>
                            <c:h val="2.8148074130327619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4F-5EE6-451F-9AA9-2FE5C4708B44}"/>
                      </c:ext>
                    </c:extLst>
                  </c:dLbl>
                  <c:dLbl>
                    <c:idx val="8"/>
                    <c:layout>
                      <c:manualLayout>
                        <c:x val="0.30453532354655366"/>
                        <c:y val="5.2302516753933555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8786744428928501"/>
                            <c:h val="3.200234488455440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1-5EE6-451F-9AA9-2FE5C4708B44}"/>
                      </c:ext>
                    </c:extLst>
                  </c:dLbl>
                  <c:dLbl>
                    <c:idx val="9"/>
                    <c:layout>
                      <c:manualLayout>
                        <c:x val="0.28289754391729355"/>
                        <c:y val="9.1856389144250372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789850225502736"/>
                            <c:h val="3.9447086880637382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3-5EE6-451F-9AA9-2FE5C4708B44}"/>
                      </c:ext>
                    </c:extLst>
                  </c:dLbl>
                  <c:dLbl>
                    <c:idx val="10"/>
                    <c:layout>
                      <c:manualLayout>
                        <c:x val="0.22694266793401943"/>
                        <c:y val="0.12901408263053413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9184826188827739"/>
                            <c:h val="3.4955433870258602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5-5EE6-451F-9AA9-2FE5C4708B44}"/>
                      </c:ext>
                    </c:extLst>
                  </c:dLbl>
                  <c:dLbl>
                    <c:idx val="11"/>
                    <c:layout>
                      <c:manualLayout>
                        <c:x val="3.5840264942369866E-2"/>
                        <c:y val="-2.4415779109586779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8113647336845654"/>
                            <c:h val="5.844282975153157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7-5EE6-451F-9AA9-2FE5C4708B44}"/>
                      </c:ext>
                    </c:extLst>
                  </c:dLbl>
                  <c:dLbl>
                    <c:idx val="12"/>
                    <c:layout>
                      <c:manualLayout>
                        <c:x val="0.13094298893656103"/>
                        <c:y val="7.2644025628411726E-4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624443A9-280D-4C1C-8102-9A645DCC037C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30E7AA9F-68E8-4F93-B88D-D94264E9998B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4655BB09-75DE-448F-A045-8FA36A7F58F2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053071851195019"/>
                            <c:h val="8.8510122127114399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59-5EE6-451F-9AA9-2FE5C4708B44}"/>
                      </c:ext>
                    </c:extLst>
                  </c:dLbl>
                  <c:dLbl>
                    <c:idx val="13"/>
                    <c:layout>
                      <c:manualLayout>
                        <c:x val="-0.62745993853484061"/>
                        <c:y val="-4.7657850035851296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1286400577664721"/>
                            <c:h val="7.818190897496768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B-5EE6-451F-9AA9-2FE5C4708B44}"/>
                      </c:ext>
                    </c:extLst>
                  </c:dLbl>
                  <c:dLbl>
                    <c:idx val="14"/>
                    <c:layout>
                      <c:manualLayout>
                        <c:x val="-0.25312643680936475"/>
                        <c:y val="6.2550545743650543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8585290102522575"/>
                            <c:h val="3.4386399669584448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D-5EE6-451F-9AA9-2FE5C4708B44}"/>
                      </c:ext>
                    </c:extLst>
                  </c:dLbl>
                  <c:dLbl>
                    <c:idx val="15"/>
                    <c:layout>
                      <c:manualLayout>
                        <c:x val="-0.2047273431357593"/>
                        <c:y val="-2.5852885140626457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0141849630942182"/>
                            <c:h val="6.460356795502085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5F-5EE6-451F-9AA9-2FE5C4708B44}"/>
                      </c:ext>
                    </c:extLst>
                  </c:dLbl>
                  <c:dLbl>
                    <c:idx val="16"/>
                    <c:layout>
                      <c:manualLayout>
                        <c:x val="9.5336500884494205E-2"/>
                        <c:y val="-4.4473168786842834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62B28DCF-6131-4FBA-B6C3-0A1CA65B00E4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2B128A75-E6C3-4837-BE76-3CC9F1088364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B1D593DC-C7D5-412D-9AA9-F66173505248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913088115222587"/>
                            <c:h val="5.6336524760576899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23-0BF5-43A9-B5B8-94051C060FDD}"/>
                      </c:ext>
                    </c:extLst>
                  </c:dLbl>
                  <c:dLbl>
                    <c:idx val="17"/>
                    <c:layout>
                      <c:manualLayout>
                        <c:x val="-1.3140101153525706E-2"/>
                        <c:y val="-1.4636542894067236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6A98A829-CD7D-48BC-8E87-7005C6C8D08F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FBBBD0D1-FF68-4775-87C2-66E3DB22030E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C53FC00A-999C-4DE7-962C-44C69F8E7B73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5384653296877385"/>
                            <c:h val="3.3808305687677363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61-5EE6-451F-9AA9-2FE5C4708B44}"/>
                      </c:ext>
                    </c:extLst>
                  </c:dLbl>
                  <c:dLbl>
                    <c:idx val="18"/>
                    <c:layout>
                      <c:manualLayout>
                        <c:x val="-5.4387426608931727E-2"/>
                        <c:y val="-9.1290619129461605E-3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BC580B4D-BBDC-4335-867D-F9944F678FEA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1CB22316-18B8-4344-BDAA-136D5FF1AE82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07B9EDE1-4168-4FBE-82C9-CE946BAA1F4F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4777528740353058"/>
                            <c:h val="3.844877892801471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63-5EE6-451F-9AA9-2FE5C4708B44}"/>
                      </c:ext>
                    </c:extLst>
                  </c:dLbl>
                  <c:dLbl>
                    <c:idx val="19"/>
                    <c:layout>
                      <c:manualLayout>
                        <c:x val="2.4219666520952129E-2"/>
                        <c:y val="9.5580326392725484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CDC947EC-FAAA-476E-9E7E-BC376F60AA72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254E1BC8-4443-4A41-A72E-CE6664777A78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2FF71E01-940E-4490-89E2-AE69F986755C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6570363662999402"/>
                            <c:h val="8.1822101776382383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65-5EE6-451F-9AA9-2FE5C4708B44}"/>
                      </c:ext>
                    </c:extLst>
                  </c:dLbl>
                  <c:dLbl>
                    <c:idx val="20"/>
                    <c:layout>
                      <c:manualLayout>
                        <c:x val="-3.2458948046656624E-2"/>
                        <c:y val="-2.7067253969491438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30400722021660648"/>
                            <c:h val="3.1848184818481846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67-5EE6-451F-9AA9-2FE5C4708B44}"/>
                      </c:ext>
                    </c:extLst>
                  </c:dLbl>
                  <c:dLbl>
                    <c:idx val="21"/>
                    <c:layout>
                      <c:manualLayout>
                        <c:x val="1.7386556373594007E-2"/>
                        <c:y val="-1.3865738936098335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149814756909894"/>
                            <c:h val="2.8547854785478541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69-5EE6-451F-9AA9-2FE5C4708B44}"/>
                      </c:ext>
                    </c:extLst>
                  </c:dLbl>
                  <c:dLbl>
                    <c:idx val="25"/>
                    <c:layout>
                      <c:manualLayout>
                        <c:x val="6.0981069544791031E-2"/>
                        <c:y val="-6.0220784199647701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21583727087208"/>
                            <c:h val="2.902510471416526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8B-A4D4-452D-A838-39069FCED7AC}"/>
                      </c:ext>
                    </c:extLst>
                  </c:dLbl>
                  <c:dLbl>
                    <c:idx val="26"/>
                    <c:layout>
                      <c:manualLayout>
                        <c:x val="5.3769059725053921E-2"/>
                        <c:y val="-7.3154598611772743E-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4351005152726132"/>
                            <c:h val="5.4191380477892376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8D-A4D4-452D-A838-39069FCED7AC}"/>
                      </c:ext>
                    </c:extLst>
                  </c:dLbl>
                  <c:dLbl>
                    <c:idx val="35"/>
                    <c:layout>
                      <c:manualLayout>
                        <c:x val="4.8673195898624282E-2"/>
                        <c:y val="5.0123030722408181E-2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896268682924281"/>
                            <c:h val="3.019953091647253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9F-A4D4-452D-A838-39069FCED7AC}"/>
                      </c:ext>
                    </c:extLst>
                  </c:dLbl>
                  <c:dLbl>
                    <c:idx val="39"/>
                    <c:layout>
                      <c:manualLayout>
                        <c:x val="8.680652916938561E-2"/>
                        <c:y val="-2.1860312241484221E-2"/>
                      </c:manualLayout>
                    </c:layout>
                    <c:tx>
                      <c:rich>
                        <a:bodyPr/>
                        <a:lstStyle/>
                        <a:p>
                          <a:fld id="{8D0511F5-30C0-452C-A4BC-413F0F824588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F83D3A32-7393-48A8-AFAA-21F20F88A7A7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B95C4701-760C-4A96-B45D-3364DE8A64CF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A7-A4D4-452D-A838-39069FCED7AC}"/>
                      </c:ext>
                    </c:extLst>
                  </c:dLbl>
                  <c:dLbl>
                    <c:idx val="41"/>
                    <c:layout>
                      <c:manualLayout>
                        <c:x val="0.33740497170533185"/>
                        <c:y val="4.4140392678450033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E8135E88-79D8-493D-A9A1-DD1B1E27A6E4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505E12AC-6B02-44D8-82BF-B3E857F95399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1186465F-9E8A-4C86-B54D-829E7A733B92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7582301540577436"/>
                            <c:h val="3.2380608149328881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AB-A4D4-452D-A838-39069FCED7AC}"/>
                      </c:ext>
                    </c:extLst>
                  </c:dLbl>
                  <c:dLbl>
                    <c:idx val="42"/>
                    <c:layout>
                      <c:manualLayout>
                        <c:x val="0.34167558904304796"/>
                        <c:y val="0.11002781633083877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8778772072958014"/>
                            <c:h val="3.7413863302074302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AD-A4D4-452D-A838-39069FCED7AC}"/>
                      </c:ext>
                    </c:extLst>
                  </c:dLbl>
                  <c:dLbl>
                    <c:idx val="44"/>
                    <c:layout>
                      <c:manualLayout>
                        <c:x val="0.23343267420768782"/>
                        <c:y val="0.16352108035585247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205193773366243"/>
                            <c:h val="3.229672056344979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B1-A4D4-452D-A838-39069FCED7AC}"/>
                      </c:ext>
                    </c:extLst>
                  </c:dLbl>
                  <c:dLbl>
                    <c:idx val="45"/>
                    <c:layout>
                      <c:manualLayout>
                        <c:x val="-3.3875386763409239E-2"/>
                        <c:y val="0.17028341057596555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9843622399556491"/>
                            <c:h val="3.405835986691068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B3-A4D4-452D-A838-39069FCED7AC}"/>
                      </c:ext>
                    </c:extLst>
                  </c:dLbl>
                  <c:dLbl>
                    <c:idx val="46"/>
                    <c:layout>
                      <c:manualLayout>
                        <c:x val="-0.11840151843476764"/>
                        <c:y val="0.13745377265592323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3776359531213687"/>
                            <c:h val="3.405835986691068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B5-A4D4-452D-A838-39069FCED7AC}"/>
                      </c:ext>
                    </c:extLst>
                  </c:dLbl>
                  <c:dLbl>
                    <c:idx val="48"/>
                    <c:layout>
                      <c:manualLayout>
                        <c:x val="-0.14434101553263909"/>
                        <c:y val="0.1009430549930023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B9-A4D4-452D-A838-39069FCED7AC}"/>
                      </c:ext>
                    </c:extLst>
                  </c:dLbl>
                  <c:dLbl>
                    <c:idx val="50"/>
                    <c:layout>
                      <c:manualLayout>
                        <c:x val="-0.12637244842131232"/>
                        <c:y val="6.2159512178495753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27ABC793-0471-4835-9155-14C5654028A6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  <a:fld id="{EB9531A4-B8CC-484B-BC39-C6B05EFF47D6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F04A344B-19B9-4854-B938-8FA909732EED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8477934491963446"/>
                            <c:h val="2.8458500216786659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85-CA28-4CF3-8212-683AEC626A05}"/>
                      </c:ext>
                    </c:extLst>
                  </c:dLbl>
                  <c:dLbl>
                    <c:idx val="51"/>
                    <c:layout>
                      <c:manualLayout>
                        <c:x val="-0.10053232348379632"/>
                        <c:y val="2.8805808032969539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BF-A4D4-452D-A838-39069FCED7AC}"/>
                      </c:ext>
                    </c:extLst>
                  </c:dLbl>
                  <c:dLbl>
                    <c:idx val="55"/>
                    <c:layout>
                      <c:manualLayout>
                        <c:x val="-0.11191335740072206"/>
                        <c:y val="0.1238421466352239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56507206003581678"/>
                            <c:h val="3.83248730964467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95-5EE6-451F-9AA9-2FE5C4708B44}"/>
                      </c:ext>
                    </c:extLst>
                  </c:dLbl>
                  <c:dLbl>
                    <c:idx val="65"/>
                    <c:layout>
                      <c:manualLayout>
                        <c:x val="-6.6109421340382987E-2"/>
                        <c:y val="0.2937382256151991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A9-5EE6-451F-9AA9-2FE5C4708B44}"/>
                      </c:ext>
                    </c:extLst>
                  </c:dLbl>
                  <c:dLbl>
                    <c:idx val="68"/>
                    <c:layout>
                      <c:manualLayout>
                        <c:x val="-5.507974762521655E-2"/>
                        <c:y val="-2.1524761897967859E-3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28653111850347163"/>
                            <c:h val="3.4058359866910685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E1-A4D4-452D-A838-39069FCED7AC}"/>
                      </c:ext>
                    </c:extLst>
                  </c:dLbl>
                  <c:dLbl>
                    <c:idx val="69"/>
                    <c:layout>
                      <c:manualLayout>
                        <c:x val="-0.1301323609018534"/>
                        <c:y val="-3.5970732612085041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E3-A4D4-452D-A838-39069FCED7AC}"/>
                      </c:ext>
                    </c:extLst>
                  </c:dLbl>
                  <c:dLbl>
                    <c:idx val="74"/>
                    <c:layout>
                      <c:manualLayout>
                        <c:x val="-0.14522437576802244"/>
                        <c:y val="-7.0590941144733965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ED-A4D4-452D-A838-39069FCED7AC}"/>
                      </c:ext>
                    </c:extLst>
                  </c:dLbl>
                  <c:dLbl>
                    <c:idx val="77"/>
                    <c:layout>
                      <c:manualLayout>
                        <c:x val="-0.15179474881682212"/>
                        <c:y val="-0.12161295615361019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F3-A4D4-452D-A838-39069FCED7AC}"/>
                      </c:ext>
                    </c:extLst>
                  </c:dLbl>
                  <c:dLbl>
                    <c:idx val="79"/>
                    <c:layout>
                      <c:manualLayout>
                        <c:x val="-0.14606346631213371"/>
                        <c:y val="-0.14510319758340343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F7-A4D4-452D-A838-39069FCED7AC}"/>
                      </c:ext>
                    </c:extLst>
                  </c:dLbl>
                  <c:dLbl>
                    <c:idx val="86"/>
                    <c:layout>
                      <c:manualLayout>
                        <c:x val="-0.16265595778141895"/>
                        <c:y val="-0.19536051449643538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4455939181891414"/>
                            <c:h val="3.6323324685646134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105-A4D4-452D-A838-39069FCED7AC}"/>
                      </c:ext>
                    </c:extLst>
                  </c:dLbl>
                  <c:dLbl>
                    <c:idx val="90"/>
                    <c:layout>
                      <c:manualLayout>
                        <c:x val="-8.8249283100843151E-2"/>
                        <c:y val="-0.19848806827894644"/>
                      </c:manualLayout>
                    </c:layout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9743938161342062"/>
                            <c:h val="5.9224635630637811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10D-A4D4-452D-A838-39069FCED7AC}"/>
                      </c:ext>
                    </c:extLst>
                  </c:dLbl>
                  <c:dLbl>
                    <c:idx val="92"/>
                    <c:layout>
                      <c:manualLayout>
                        <c:x val="-0.10030221494718415"/>
                        <c:y val="-0.21205632384254289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111-A4D4-452D-A838-39069FCED7AC}"/>
                      </c:ext>
                    </c:extLst>
                  </c:dLbl>
                  <c:dLbl>
                    <c:idx val="93"/>
                    <c:layout>
                      <c:manualLayout>
                        <c:x val="2.3478735804661491E-2"/>
                        <c:y val="-9.173087699913364E-2"/>
                      </c:manualLayout>
                    </c:layout>
                    <c:tx>
                      <c:rich>
                        <a:bodyPr/>
                        <a:lstStyle/>
                        <a:p>
                          <a:fld id="{24163B72-D4B7-445F-8020-FB2345B168B4}" type="CATEGORYNAME">
                            <a:rPr lang="en-US"/>
                            <a:pPr/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fld id="{6B144E20-1F52-4A12-BE51-450632A82F01}" type="VALUE">
                            <a:rPr lang="en-US" baseline="0"/>
                            <a:pPr/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DCB972A5-ECE1-42BC-8475-3DC655B98732}" type="PERCENTAGE">
                            <a:rPr lang="en-US" baseline="0"/>
                            <a:pPr/>
                            <a:t>[POURCENTAGE]</a:t>
                          </a:fld>
                          <a:endParaRPr lang="en-US" baseline="0"/>
                        </a:p>
                      </c:rich>
                    </c:tx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113-A4D4-452D-A838-39069FCED7AC}"/>
                      </c:ext>
                    </c:extLst>
                  </c:dLbl>
                  <c:dLbl>
                    <c:idx val="96"/>
                    <c:layout>
                      <c:manualLayout>
                        <c:x val="-0.17108878646373629"/>
                        <c:y val="-2.934909574466681E-2"/>
                      </c:manualLayout>
                    </c:layout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517213049297117"/>
                            <c:h val="5.4191380477892376E-2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119-A4D4-452D-A838-39069FCED7AC}"/>
                      </c:ext>
                    </c:extLst>
                  </c:dLbl>
                  <c:dLbl>
                    <c:idx val="98"/>
                    <c:layout>
                      <c:manualLayout>
                        <c:x val="7.9428899082388694E-3"/>
                        <c:y val="-2.1795514035383916E-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2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  <a:ea typeface="+mn-ea"/>
                              <a:cs typeface="+mn-cs"/>
                            </a:defRPr>
                          </a:pPr>
                          <a:fld id="{CE030942-CE9C-411C-86DC-A95B76803B0F}" type="CATEGORYNAME">
                            <a:rPr lang="en-US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[NOM DE CATÉGORIE]</a:t>
                          </a:fld>
                          <a:r>
                            <a:rPr lang="en-US" baseline="0"/>
                            <a:t>; </a:t>
                          </a:r>
                        </a:p>
                        <a:p>
                          <a:pPr>
                            <a:defRPr sz="1200">
                              <a:solidFill>
                                <a:sysClr val="windowText" lastClr="000000"/>
                              </a:solidFill>
                              <a:latin typeface="Calibri" panose="020F0502020204030204" pitchFamily="34" charset="0"/>
                            </a:defRPr>
                          </a:pPr>
                          <a:fld id="{B3DAF443-0D02-45CA-A71C-C88756D591EB}" type="VALU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[VALEUR]</a:t>
                          </a:fld>
                          <a:r>
                            <a:rPr lang="en-US" baseline="0"/>
                            <a:t>; </a:t>
                          </a:r>
                          <a:fld id="{7727AD41-8924-43D8-A714-79F5A626E8DF}" type="PERCENTAGE">
                            <a:rPr lang="en-US" baseline="0"/>
                            <a:pPr>
                              <a:defRPr sz="1200">
                                <a:solidFill>
                                  <a:sysClr val="windowText" lastClr="000000"/>
                                </a:solidFill>
                                <a:latin typeface="Calibri" panose="020F0502020204030204" pitchFamily="34" charset="0"/>
                              </a:defRPr>
                            </a:pPr>
                            <a:t>[POURCENTAGE]</a:t>
                          </a:fld>
                          <a:endParaRPr lang="en-US" baseline="0"/>
                        </a:p>
                      </c:rich>
                    </c:tx>
                    <c:numFmt formatCode="0.0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200" b="0" i="0" u="none" strike="noStrike" kern="1200" baseline="0">
                            <a:solidFill>
                              <a:sysClr val="windowText" lastClr="000000"/>
                            </a:solidFill>
                            <a:latin typeface="Calibri" panose="020F0502020204030204" pitchFamily="34" charset="0"/>
                            <a:ea typeface="+mn-ea"/>
                            <a:cs typeface="+mn-cs"/>
                          </a:defRPr>
                        </a:pPr>
                        <a:endParaRPr lang="fr-FR"/>
                      </a:p>
                    </c:txPr>
                    <c:dLblPos val="bestFit"/>
                    <c:showLegendKey val="0"/>
                    <c:showVal val="1"/>
                    <c:showCatName val="1"/>
                    <c:showSerName val="0"/>
                    <c:showPercent val="1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1383067281092438"/>
                            <c:h val="6.1489600449373238E-2"/>
                          </c:manualLayout>
                        </c15:layout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11D-A4D4-452D-A838-39069FCED7AC}"/>
                      </c:ext>
                    </c:extLst>
                  </c:dLbl>
                  <c:numFmt formatCode="0.00%" sourceLinked="0"/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Calibri" panose="020F0502020204030204" pitchFamily="34" charset="0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bestFit"/>
                  <c:showLegendKey val="0"/>
                  <c:showVal val="1"/>
                  <c:showCatName val="1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'Compta (2)'!$C$647:$C$745</c15:sqref>
                        </c15:formulaRef>
                      </c:ext>
                    </c:extLst>
                    <c:strCache>
                      <c:ptCount val="99"/>
                      <c:pt idx="0">
                        <c:v>Licences</c:v>
                      </c:pt>
                      <c:pt idx="1">
                        <c:v>droits de mutation</c:v>
                      </c:pt>
                      <c:pt idx="2">
                        <c:v>Assurances individuelles</c:v>
                      </c:pt>
                      <c:pt idx="3">
                        <c:v>Engagements sports collectifs national et +</c:v>
                      </c:pt>
                      <c:pt idx="4">
                        <c:v>Engagements sports collectifs régional et -</c:v>
                      </c:pt>
                      <c:pt idx="5">
                        <c:v>Engagements sports individuels national et +</c:v>
                      </c:pt>
                      <c:pt idx="6">
                        <c:v>Engagements sports individuels régional et -</c:v>
                      </c:pt>
                      <c:pt idx="8">
                        <c:v>Charges diverses de gestion courante</c:v>
                      </c:pt>
                      <c:pt idx="10">
                        <c:v>Subvention du C.A.</c:v>
                      </c:pt>
                      <c:pt idx="11">
                        <c:v>Rétrocession de subvention spécifique communale</c:v>
                      </c:pt>
                      <c:pt idx="12">
                        <c:v>Rétrocession de subvention spécifique départementale</c:v>
                      </c:pt>
                      <c:pt idx="13">
                        <c:v>Rétrocession de subvention spécifique nationale</c:v>
                      </c:pt>
                      <c:pt idx="15">
                        <c:v>Personnel administratif</c:v>
                      </c:pt>
                      <c:pt idx="16">
                        <c:v>Personnel encadrement technique</c:v>
                      </c:pt>
                      <c:pt idx="17">
                        <c:v>Personnel joueurs</c:v>
                      </c:pt>
                      <c:pt idx="19">
                        <c:v>Cotisations URSSAF</c:v>
                      </c:pt>
                      <c:pt idx="20">
                        <c:v>Cotisations aux caisses de retraite</c:v>
                      </c:pt>
                      <c:pt idx="21">
                        <c:v>Cotisations aux ASSEDIC</c:v>
                      </c:pt>
                      <c:pt idx="22">
                        <c:v>Cotisations de prévoyance</c:v>
                      </c:pt>
                      <c:pt idx="23">
                        <c:v>Cotisations Uniformation</c:v>
                      </c:pt>
                      <c:pt idx="25">
                        <c:v>Prélèvement à la source</c:v>
                      </c:pt>
                      <c:pt idx="26">
                        <c:v>Charges sociales versées au Comité Directeur</c:v>
                      </c:pt>
                      <c:pt idx="28">
                        <c:v>Médecine du travail</c:v>
                      </c:pt>
                      <c:pt idx="30">
                        <c:v>Rbt ANCV chèques vacances aux sections</c:v>
                      </c:pt>
                      <c:pt idx="31">
                        <c:v>Rbt ANCV coupons cports aux sections</c:v>
                      </c:pt>
                      <c:pt idx="33">
                        <c:v>Taxe sur les salaires</c:v>
                      </c:pt>
                      <c:pt idx="34">
                        <c:v>Taxe d'apprentissage</c:v>
                      </c:pt>
                      <c:pt idx="35">
                        <c:v>Formation professionnelle</c:v>
                      </c:pt>
                      <c:pt idx="36">
                        <c:v>Participation à l'effort de construction</c:v>
                      </c:pt>
                      <c:pt idx="38">
                        <c:v>Achats de matériel</c:v>
                      </c:pt>
                      <c:pt idx="39">
                        <c:v>Achats d'équipements sportifs</c:v>
                      </c:pt>
                      <c:pt idx="40">
                        <c:v>Achats d'équipements pour entraineurs</c:v>
                      </c:pt>
                      <c:pt idx="41">
                        <c:v>Achats d'équipements pour sportifs</c:v>
                      </c:pt>
                      <c:pt idx="42">
                        <c:v>Achats de coupes, trophées, médailles</c:v>
                      </c:pt>
                      <c:pt idx="44">
                        <c:v>Fournitures non stockables</c:v>
                      </c:pt>
                      <c:pt idx="45">
                        <c:v>Fournitures d'entretien et petit matériel</c:v>
                      </c:pt>
                      <c:pt idx="46">
                        <c:v>Fournitures administratives</c:v>
                      </c:pt>
                      <c:pt idx="47">
                        <c:v>Fourniture médicales</c:v>
                      </c:pt>
                      <c:pt idx="48">
                        <c:v>Fournitures diverses</c:v>
                      </c:pt>
                      <c:pt idx="50">
                        <c:v>Achats aliments</c:v>
                      </c:pt>
                      <c:pt idx="51">
                        <c:v>Achats boissons</c:v>
                      </c:pt>
                      <c:pt idx="52">
                        <c:v>Achats insignes, fanions, accessoires, gadgets…</c:v>
                      </c:pt>
                      <c:pt idx="53">
                        <c:v>Achats livres, brochures, guides sportifs…</c:v>
                      </c:pt>
                      <c:pt idx="54">
                        <c:v>Achats articles de sports</c:v>
                      </c:pt>
                      <c:pt idx="59">
                        <c:v>Locations immobilières</c:v>
                      </c:pt>
                      <c:pt idx="60">
                        <c:v>Locations de matériel</c:v>
                      </c:pt>
                      <c:pt idx="61">
                        <c:v>Locations de véhicules</c:v>
                      </c:pt>
                      <c:pt idx="63">
                        <c:v>Entretien et réparation sur bien immobilier</c:v>
                      </c:pt>
                      <c:pt idx="64">
                        <c:v>Entretien et réparation sur bien mobilier</c:v>
                      </c:pt>
                      <c:pt idx="65">
                        <c:v>Contrat de maintenance</c:v>
                      </c:pt>
                      <c:pt idx="67">
                        <c:v>Assurance Responsabilité Civile</c:v>
                      </c:pt>
                      <c:pt idx="68">
                        <c:v>Assurance Multirisque, incendie, vol…</c:v>
                      </c:pt>
                      <c:pt idx="69">
                        <c:v>Assurance Véhicules</c:v>
                      </c:pt>
                      <c:pt idx="70">
                        <c:v>Autres assurance</c:v>
                      </c:pt>
                      <c:pt idx="72">
                        <c:v>Documentation générale</c:v>
                      </c:pt>
                      <c:pt idx="73">
                        <c:v>Documentation technique</c:v>
                      </c:pt>
                      <c:pt idx="74">
                        <c:v>Formation</c:v>
                      </c:pt>
                      <c:pt idx="75">
                        <c:v>Frais de colloques, séminaires, conférances…</c:v>
                      </c:pt>
                      <c:pt idx="77">
                        <c:v>Expert-comptable</c:v>
                      </c:pt>
                      <c:pt idx="78">
                        <c:v>Avocat</c:v>
                      </c:pt>
                      <c:pt idx="79">
                        <c:v>Médecins et kinés</c:v>
                      </c:pt>
                      <c:pt idx="80">
                        <c:v>Autres honoraires</c:v>
                      </c:pt>
                      <c:pt idx="81">
                        <c:v>Frais d'actes et de contentieux</c:v>
                      </c:pt>
                      <c:pt idx="83">
                        <c:v>Annonces et insertions</c:v>
                      </c:pt>
                      <c:pt idx="84">
                        <c:v>Expositions</c:v>
                      </c:pt>
                      <c:pt idx="85">
                        <c:v>Dépliants et imprimés</c:v>
                      </c:pt>
                      <c:pt idx="86">
                        <c:v>Publications</c:v>
                      </c:pt>
                      <c:pt idx="88">
                        <c:v>Déplacements sports collectifs niveau national et +</c:v>
                      </c:pt>
                      <c:pt idx="89">
                        <c:v>Déplacements sports collectifs niveau régional et -</c:v>
                      </c:pt>
                      <c:pt idx="90">
                        <c:v>Déplacements sports individuels niveau national et +</c:v>
                      </c:pt>
                      <c:pt idx="91">
                        <c:v>Déplacements sports individuels niveau régional et -</c:v>
                      </c:pt>
                      <c:pt idx="92">
                        <c:v>Stages</c:v>
                      </c:pt>
                      <c:pt idx="93">
                        <c:v>Déplacements du personnel</c:v>
                      </c:pt>
                      <c:pt idx="94">
                        <c:v>Missions</c:v>
                      </c:pt>
                      <c:pt idx="95">
                        <c:v>Réceptions</c:v>
                      </c:pt>
                      <c:pt idx="96">
                        <c:v>Déplacements des bénévoles</c:v>
                      </c:pt>
                      <c:pt idx="98">
                        <c:v>Affranchissements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'Compta (2)'!$F$647:$F$745</c15:sqref>
                        </c15:formulaRef>
                      </c:ext>
                    </c:extLst>
                    <c:numCache>
                      <c:formatCode>#\ ##0.00\ [$€-1]</c:formatCode>
                      <c:ptCount val="99"/>
                      <c:pt idx="0">
                        <c:v>9269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8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5">
                        <c:v>0</c:v>
                      </c:pt>
                      <c:pt idx="16">
                        <c:v>20228.469999999994</c:v>
                      </c:pt>
                      <c:pt idx="17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141</c:v>
                      </c:pt>
                      <c:pt idx="25">
                        <c:v>650.75</c:v>
                      </c:pt>
                      <c:pt idx="26">
                        <c:v>7844.1800000000012</c:v>
                      </c:pt>
                      <c:pt idx="28">
                        <c:v>141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8">
                        <c:v>1931.3100000000002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226.79000000000002</c:v>
                      </c:pt>
                      <c:pt idx="47">
                        <c:v>0</c:v>
                      </c:pt>
                      <c:pt idx="48">
                        <c:v>31.7</c:v>
                      </c:pt>
                      <c:pt idx="50">
                        <c:v>7.68</c:v>
                      </c:pt>
                      <c:pt idx="51">
                        <c:v>33.440000000000005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40585.319999999992</c:v>
                      </c:pt>
                      <c:pt idx="58">
                        <c:v>40585.319999999992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7">
                        <c:v>1320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3569.5</c:v>
                      </c:pt>
                      <c:pt idx="81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8">
                        <c:v>8.8000000000000007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0BF5-43A9-B5B8-94051C060FDD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55118110236220474" l="0.31496062992125984" r="0.31496062992125984" t="0.55118110236220474" header="0.31496062992125984" footer="0.31496062992125984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50800</xdr:colOff>
      <xdr:row>289</xdr:row>
      <xdr:rowOff>33867</xdr:rowOff>
    </xdr:from>
    <xdr:to>
      <xdr:col>15</xdr:col>
      <xdr:colOff>320040</xdr:colOff>
      <xdr:row>298</xdr:row>
      <xdr:rowOff>137160</xdr:rowOff>
    </xdr:to>
    <xdr:sp macro="" textlink="">
      <xdr:nvSpPr>
        <xdr:cNvPr id="2" name="Accolade ferman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6010467" y="56701267"/>
          <a:ext cx="269240" cy="1855893"/>
        </a:xfrm>
        <a:prstGeom prst="rightBrac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85725</xdr:rowOff>
    </xdr:from>
    <xdr:to>
      <xdr:col>13</xdr:col>
      <xdr:colOff>752474</xdr:colOff>
      <xdr:row>41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4EA4C1E-F5E0-42E4-A560-6466FC9A47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142875</xdr:rowOff>
    </xdr:from>
    <xdr:to>
      <xdr:col>14</xdr:col>
      <xdr:colOff>257175</xdr:colOff>
      <xdr:row>47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7C833ED-2B4E-4BA7-AF9C-9A7812F6C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80"/>
  <sheetViews>
    <sheetView zoomScale="90" zoomScaleNormal="90" zoomScaleSheetLayoutView="100" zoomScalePageLayoutView="115" workbookViewId="0">
      <pane xSplit="3" ySplit="6" topLeftCell="D289" activePane="bottomRight" state="frozen"/>
      <selection pane="topRight" activeCell="D1" sqref="D1"/>
      <selection pane="bottomLeft" activeCell="A7" sqref="A7"/>
      <selection pane="bottomRight" activeCell="D287" sqref="D287"/>
    </sheetView>
  </sheetViews>
  <sheetFormatPr baseColWidth="10" defaultColWidth="11.54296875" defaultRowHeight="12.5" x14ac:dyDescent="0.25"/>
  <cols>
    <col min="1" max="1" width="4.1796875" style="249" customWidth="1"/>
    <col min="2" max="2" width="10.36328125" style="249" customWidth="1"/>
    <col min="3" max="3" width="10.54296875" style="249" customWidth="1"/>
    <col min="4" max="4" width="76" style="249" customWidth="1"/>
    <col min="5" max="6" width="13.6328125" style="249" customWidth="1"/>
    <col min="7" max="7" width="15.6328125" style="249" customWidth="1"/>
    <col min="8" max="8" width="9.54296875" style="249" customWidth="1"/>
    <col min="9" max="11" width="10.81640625" style="249" customWidth="1"/>
    <col min="12" max="12" width="8.36328125" style="249" customWidth="1"/>
    <col min="13" max="13" width="11.54296875" style="249"/>
    <col min="14" max="14" width="15" style="249" customWidth="1"/>
    <col min="15" max="15" width="11.54296875" style="249"/>
    <col min="16" max="16" width="13" style="249" customWidth="1"/>
    <col min="17" max="16384" width="11.54296875" style="249"/>
  </cols>
  <sheetData>
    <row r="1" spans="1:17" ht="12.75" customHeight="1" x14ac:dyDescent="0.25">
      <c r="B1" s="250"/>
      <c r="C1" s="250"/>
      <c r="D1" s="117"/>
      <c r="E1" s="251"/>
      <c r="F1" s="251"/>
      <c r="G1" s="251"/>
    </row>
    <row r="2" spans="1:17" ht="20.149999999999999" customHeight="1" x14ac:dyDescent="0.25">
      <c r="B2" s="355" t="s">
        <v>217</v>
      </c>
      <c r="C2" s="356"/>
      <c r="D2" s="357"/>
      <c r="E2" s="347" t="s">
        <v>225</v>
      </c>
      <c r="F2" s="348"/>
      <c r="G2" s="251"/>
    </row>
    <row r="3" spans="1:17" ht="15" customHeight="1" thickBot="1" x14ac:dyDescent="0.3">
      <c r="B3" s="252" t="s">
        <v>208</v>
      </c>
      <c r="C3" s="253">
        <f ca="1">NOW()</f>
        <v>46091.327012615744</v>
      </c>
      <c r="D3" s="254">
        <f ca="1">NOW()</f>
        <v>46091.327012615744</v>
      </c>
      <c r="E3" s="251"/>
      <c r="F3" s="251"/>
      <c r="G3" s="251"/>
    </row>
    <row r="4" spans="1:17" ht="39.9" customHeight="1" x14ac:dyDescent="0.25">
      <c r="A4" s="322" t="s">
        <v>216</v>
      </c>
      <c r="B4" s="131" t="s">
        <v>175</v>
      </c>
      <c r="C4" s="132" t="s">
        <v>179</v>
      </c>
      <c r="D4" s="133" t="s">
        <v>176</v>
      </c>
      <c r="E4" s="134" t="s">
        <v>2</v>
      </c>
      <c r="F4" s="134" t="s">
        <v>3</v>
      </c>
      <c r="G4" s="135" t="s">
        <v>115</v>
      </c>
      <c r="H4" s="345" t="s">
        <v>181</v>
      </c>
      <c r="I4" s="330" t="s">
        <v>219</v>
      </c>
      <c r="J4" s="331" t="s">
        <v>220</v>
      </c>
      <c r="K4" s="331" t="s">
        <v>221</v>
      </c>
      <c r="L4" s="332" t="s">
        <v>222</v>
      </c>
    </row>
    <row r="5" spans="1:17" ht="20.149999999999999" customHeight="1" thickBot="1" x14ac:dyDescent="0.3">
      <c r="A5" s="323"/>
      <c r="B5" s="239"/>
      <c r="C5" s="240"/>
      <c r="D5" s="241"/>
      <c r="E5" s="242"/>
      <c r="F5" s="242"/>
      <c r="G5" s="243"/>
      <c r="H5" s="346"/>
      <c r="I5" s="324"/>
      <c r="J5" s="325"/>
      <c r="K5" s="325"/>
      <c r="L5" s="325"/>
    </row>
    <row r="6" spans="1:17" ht="15" customHeight="1" x14ac:dyDescent="0.25">
      <c r="A6" s="323"/>
      <c r="B6" s="244"/>
      <c r="C6" s="245"/>
      <c r="D6" s="245"/>
      <c r="E6" s="246"/>
      <c r="F6" s="246"/>
      <c r="G6" s="247"/>
      <c r="H6" s="248"/>
      <c r="I6" s="326"/>
      <c r="J6" s="327"/>
      <c r="K6" s="327"/>
      <c r="L6" s="327"/>
    </row>
    <row r="7" spans="1:17" ht="15" customHeight="1" x14ac:dyDescent="0.25">
      <c r="A7" s="335"/>
      <c r="B7" s="257">
        <v>45536</v>
      </c>
      <c r="C7" s="173"/>
      <c r="D7" s="175" t="s">
        <v>218</v>
      </c>
      <c r="E7" s="255"/>
      <c r="F7" s="256"/>
      <c r="G7" s="136"/>
      <c r="H7" s="130"/>
      <c r="I7" s="328">
        <v>-699.17999999999961</v>
      </c>
      <c r="J7" s="329">
        <v>19096.330000000009</v>
      </c>
      <c r="K7" s="329">
        <v>27.62</v>
      </c>
      <c r="L7" s="333"/>
    </row>
    <row r="8" spans="1:17" ht="15" customHeight="1" x14ac:dyDescent="0.25">
      <c r="A8" s="335">
        <v>0</v>
      </c>
      <c r="B8" s="257">
        <v>45536</v>
      </c>
      <c r="C8" s="173">
        <v>157500</v>
      </c>
      <c r="D8" s="175" t="s">
        <v>254</v>
      </c>
      <c r="E8" s="255">
        <v>500</v>
      </c>
      <c r="F8" s="256"/>
      <c r="G8" s="136">
        <f t="shared" ref="G8:G29" si="0">+G7+E8-F8</f>
        <v>500</v>
      </c>
      <c r="H8" s="130"/>
      <c r="I8" s="328">
        <f t="shared" ref="I8:I72" si="1">E8-F8</f>
        <v>500</v>
      </c>
      <c r="J8" s="329"/>
      <c r="K8" s="329"/>
      <c r="L8" s="333"/>
    </row>
    <row r="9" spans="1:17" ht="15" customHeight="1" x14ac:dyDescent="0.25">
      <c r="A9" s="335">
        <v>1</v>
      </c>
      <c r="B9" s="336">
        <v>45536</v>
      </c>
      <c r="C9" s="43">
        <v>756800</v>
      </c>
      <c r="D9" s="44" t="s">
        <v>226</v>
      </c>
      <c r="E9" s="255">
        <v>4117.5</v>
      </c>
      <c r="F9" s="255"/>
      <c r="G9" s="136">
        <f t="shared" si="0"/>
        <v>4617.5</v>
      </c>
      <c r="H9" s="130"/>
      <c r="I9" s="328">
        <f t="shared" si="1"/>
        <v>4117.5</v>
      </c>
      <c r="J9" s="329"/>
      <c r="K9" s="329"/>
      <c r="L9" s="333"/>
    </row>
    <row r="10" spans="1:17" ht="15" customHeight="1" x14ac:dyDescent="0.25">
      <c r="A10" s="335">
        <v>2</v>
      </c>
      <c r="B10" s="336">
        <v>45536</v>
      </c>
      <c r="C10" s="43">
        <v>606400</v>
      </c>
      <c r="D10" s="44" t="s">
        <v>227</v>
      </c>
      <c r="E10" s="255"/>
      <c r="F10" s="255">
        <v>198.74</v>
      </c>
      <c r="G10" s="136">
        <f t="shared" si="0"/>
        <v>4418.76</v>
      </c>
      <c r="H10" s="130"/>
      <c r="I10" s="328">
        <f t="shared" si="1"/>
        <v>-198.74</v>
      </c>
      <c r="J10" s="329"/>
      <c r="K10" s="329"/>
      <c r="L10" s="333"/>
    </row>
    <row r="11" spans="1:17" ht="15" customHeight="1" x14ac:dyDescent="0.25">
      <c r="A11" s="335">
        <v>3</v>
      </c>
      <c r="B11" s="336">
        <v>45537</v>
      </c>
      <c r="C11" s="43">
        <v>756800</v>
      </c>
      <c r="D11" s="44" t="s">
        <v>224</v>
      </c>
      <c r="E11" s="255">
        <v>67.5</v>
      </c>
      <c r="F11" s="255"/>
      <c r="G11" s="136">
        <f t="shared" si="0"/>
        <v>4486.26</v>
      </c>
      <c r="H11" s="130" t="s">
        <v>246</v>
      </c>
      <c r="I11" s="328">
        <f t="shared" si="1"/>
        <v>67.5</v>
      </c>
      <c r="J11" s="329"/>
      <c r="K11" s="329"/>
      <c r="L11" s="333">
        <v>45540</v>
      </c>
    </row>
    <row r="12" spans="1:17" ht="15" customHeight="1" x14ac:dyDescent="0.25">
      <c r="A12" s="335">
        <v>4</v>
      </c>
      <c r="B12" s="336">
        <v>45537</v>
      </c>
      <c r="C12" s="43">
        <v>756800</v>
      </c>
      <c r="D12" s="44" t="s">
        <v>224</v>
      </c>
      <c r="E12" s="255">
        <v>135</v>
      </c>
      <c r="F12" s="255"/>
      <c r="G12" s="136">
        <f t="shared" si="0"/>
        <v>4621.26</v>
      </c>
      <c r="H12" s="130" t="s">
        <v>246</v>
      </c>
      <c r="I12" s="328">
        <f t="shared" si="1"/>
        <v>135</v>
      </c>
      <c r="J12" s="329"/>
      <c r="K12" s="329"/>
      <c r="L12" s="333">
        <v>45540</v>
      </c>
    </row>
    <row r="13" spans="1:17" ht="15" customHeight="1" x14ac:dyDescent="0.25">
      <c r="A13" s="335">
        <v>5</v>
      </c>
      <c r="B13" s="336">
        <v>45537</v>
      </c>
      <c r="C13" s="43">
        <v>756800</v>
      </c>
      <c r="D13" s="44" t="s">
        <v>224</v>
      </c>
      <c r="E13" s="255">
        <v>135</v>
      </c>
      <c r="F13" s="255"/>
      <c r="G13" s="136">
        <f t="shared" si="0"/>
        <v>4756.26</v>
      </c>
      <c r="H13" s="130" t="s">
        <v>246</v>
      </c>
      <c r="I13" s="328">
        <f t="shared" si="1"/>
        <v>135</v>
      </c>
      <c r="J13" s="329"/>
      <c r="K13" s="329"/>
      <c r="L13" s="333">
        <v>45540</v>
      </c>
    </row>
    <row r="14" spans="1:17" ht="15" customHeight="1" x14ac:dyDescent="0.25">
      <c r="A14" s="335">
        <v>6</v>
      </c>
      <c r="B14" s="336">
        <v>45537</v>
      </c>
      <c r="C14" s="43">
        <v>628100</v>
      </c>
      <c r="D14" s="44" t="s">
        <v>228</v>
      </c>
      <c r="E14" s="255"/>
      <c r="F14" s="255">
        <v>80</v>
      </c>
      <c r="G14" s="136">
        <f t="shared" si="0"/>
        <v>4676.26</v>
      </c>
      <c r="H14" s="130" t="s">
        <v>246</v>
      </c>
      <c r="I14" s="328">
        <f t="shared" si="1"/>
        <v>-80</v>
      </c>
      <c r="J14" s="329"/>
      <c r="K14" s="329"/>
      <c r="L14" s="333">
        <v>45540</v>
      </c>
      <c r="N14" s="323"/>
      <c r="O14" s="337"/>
      <c r="P14" s="323"/>
      <c r="Q14" s="337"/>
    </row>
    <row r="15" spans="1:17" ht="15" customHeight="1" x14ac:dyDescent="0.25">
      <c r="A15" s="335">
        <v>7</v>
      </c>
      <c r="B15" s="336">
        <v>45538</v>
      </c>
      <c r="C15" s="43">
        <v>756800</v>
      </c>
      <c r="D15" s="44" t="s">
        <v>224</v>
      </c>
      <c r="E15" s="255">
        <v>675</v>
      </c>
      <c r="F15" s="255"/>
      <c r="G15" s="136">
        <f t="shared" si="0"/>
        <v>5351.26</v>
      </c>
      <c r="H15" s="130" t="s">
        <v>246</v>
      </c>
      <c r="I15" s="328">
        <f t="shared" si="1"/>
        <v>675</v>
      </c>
      <c r="J15" s="329"/>
      <c r="K15" s="329"/>
      <c r="L15" s="333">
        <v>45540</v>
      </c>
      <c r="N15" s="323"/>
      <c r="O15" s="337"/>
      <c r="P15" s="323"/>
      <c r="Q15" s="337"/>
    </row>
    <row r="16" spans="1:17" ht="15" customHeight="1" x14ac:dyDescent="0.25">
      <c r="A16" s="335">
        <v>8</v>
      </c>
      <c r="B16" s="336">
        <v>45539</v>
      </c>
      <c r="C16" s="43">
        <v>756800</v>
      </c>
      <c r="D16" s="44" t="s">
        <v>224</v>
      </c>
      <c r="E16" s="255">
        <v>135</v>
      </c>
      <c r="F16" s="255"/>
      <c r="G16" s="136">
        <f t="shared" si="0"/>
        <v>5486.26</v>
      </c>
      <c r="H16" s="130" t="s">
        <v>246</v>
      </c>
      <c r="I16" s="328">
        <f t="shared" si="1"/>
        <v>135</v>
      </c>
      <c r="J16" s="329"/>
      <c r="K16" s="329"/>
      <c r="L16" s="333">
        <v>45540</v>
      </c>
      <c r="N16" s="323"/>
      <c r="O16" s="337"/>
      <c r="P16" s="323"/>
      <c r="Q16" s="337"/>
    </row>
    <row r="17" spans="1:12" ht="15" customHeight="1" x14ac:dyDescent="0.25">
      <c r="A17" s="335">
        <v>9</v>
      </c>
      <c r="B17" s="336">
        <v>45540</v>
      </c>
      <c r="C17" s="43">
        <v>756800</v>
      </c>
      <c r="D17" s="44" t="s">
        <v>224</v>
      </c>
      <c r="E17" s="255">
        <v>675</v>
      </c>
      <c r="F17" s="255"/>
      <c r="G17" s="136">
        <f t="shared" si="0"/>
        <v>6161.26</v>
      </c>
      <c r="H17" s="130" t="s">
        <v>246</v>
      </c>
      <c r="I17" s="328">
        <f t="shared" si="1"/>
        <v>675</v>
      </c>
      <c r="J17" s="329"/>
      <c r="K17" s="329"/>
      <c r="L17" s="333">
        <v>45540</v>
      </c>
    </row>
    <row r="18" spans="1:12" ht="15" customHeight="1" x14ac:dyDescent="0.25">
      <c r="A18" s="335">
        <v>10</v>
      </c>
      <c r="B18" s="336">
        <v>45541</v>
      </c>
      <c r="C18" s="43">
        <v>756800</v>
      </c>
      <c r="D18" s="44" t="s">
        <v>224</v>
      </c>
      <c r="E18" s="255">
        <v>202.5</v>
      </c>
      <c r="F18" s="255"/>
      <c r="G18" s="136">
        <f t="shared" si="0"/>
        <v>6363.76</v>
      </c>
      <c r="H18" s="130" t="s">
        <v>246</v>
      </c>
      <c r="I18" s="328">
        <f t="shared" si="1"/>
        <v>202.5</v>
      </c>
      <c r="J18" s="329"/>
      <c r="K18" s="329"/>
      <c r="L18" s="333">
        <v>45572</v>
      </c>
    </row>
    <row r="19" spans="1:12" ht="15" customHeight="1" x14ac:dyDescent="0.25">
      <c r="A19" s="335">
        <v>11</v>
      </c>
      <c r="B19" s="336">
        <v>45544</v>
      </c>
      <c r="C19" s="43">
        <v>756800</v>
      </c>
      <c r="D19" s="44" t="s">
        <v>224</v>
      </c>
      <c r="E19" s="255">
        <v>540</v>
      </c>
      <c r="F19" s="255"/>
      <c r="G19" s="136">
        <f t="shared" si="0"/>
        <v>6903.76</v>
      </c>
      <c r="H19" s="130" t="s">
        <v>246</v>
      </c>
      <c r="I19" s="328">
        <f t="shared" si="1"/>
        <v>540</v>
      </c>
      <c r="J19" s="329"/>
      <c r="K19" s="329"/>
      <c r="L19" s="333">
        <v>45572</v>
      </c>
    </row>
    <row r="20" spans="1:12" ht="15" customHeight="1" x14ac:dyDescent="0.25">
      <c r="A20" s="335">
        <v>12</v>
      </c>
      <c r="B20" s="336">
        <v>45544</v>
      </c>
      <c r="C20" s="43">
        <v>756800</v>
      </c>
      <c r="D20" s="44" t="s">
        <v>224</v>
      </c>
      <c r="E20" s="255">
        <v>607.5</v>
      </c>
      <c r="F20" s="255"/>
      <c r="G20" s="136">
        <f t="shared" si="0"/>
        <v>7511.26</v>
      </c>
      <c r="H20" s="130" t="s">
        <v>246</v>
      </c>
      <c r="I20" s="328">
        <f t="shared" si="1"/>
        <v>607.5</v>
      </c>
      <c r="J20" s="329"/>
      <c r="K20" s="329"/>
      <c r="L20" s="333">
        <v>45572</v>
      </c>
    </row>
    <row r="21" spans="1:12" ht="15" customHeight="1" x14ac:dyDescent="0.25">
      <c r="A21" s="335">
        <v>13</v>
      </c>
      <c r="B21" s="336">
        <v>45544</v>
      </c>
      <c r="C21" s="43">
        <v>756800</v>
      </c>
      <c r="D21" s="44" t="s">
        <v>224</v>
      </c>
      <c r="E21" s="255">
        <v>270</v>
      </c>
      <c r="F21" s="255"/>
      <c r="G21" s="136">
        <f t="shared" si="0"/>
        <v>7781.26</v>
      </c>
      <c r="H21" s="130" t="s">
        <v>246</v>
      </c>
      <c r="I21" s="328">
        <f t="shared" si="1"/>
        <v>270</v>
      </c>
      <c r="J21" s="329"/>
      <c r="K21" s="329"/>
      <c r="L21" s="333">
        <v>45572</v>
      </c>
    </row>
    <row r="22" spans="1:12" ht="15" customHeight="1" x14ac:dyDescent="0.25">
      <c r="A22" s="335">
        <v>14</v>
      </c>
      <c r="B22" s="336">
        <v>45545</v>
      </c>
      <c r="C22" s="43">
        <v>756800</v>
      </c>
      <c r="D22" s="44" t="s">
        <v>224</v>
      </c>
      <c r="E22" s="255">
        <v>135</v>
      </c>
      <c r="F22" s="255"/>
      <c r="G22" s="136">
        <f t="shared" si="0"/>
        <v>7916.26</v>
      </c>
      <c r="H22" s="130" t="s">
        <v>246</v>
      </c>
      <c r="I22" s="328">
        <f t="shared" si="1"/>
        <v>135</v>
      </c>
      <c r="J22" s="329"/>
      <c r="K22" s="329"/>
      <c r="L22" s="333">
        <v>45572</v>
      </c>
    </row>
    <row r="23" spans="1:12" ht="15" customHeight="1" x14ac:dyDescent="0.25">
      <c r="A23" s="335">
        <v>15</v>
      </c>
      <c r="B23" s="336">
        <v>45546</v>
      </c>
      <c r="C23" s="43">
        <v>756800</v>
      </c>
      <c r="D23" s="44" t="s">
        <v>224</v>
      </c>
      <c r="E23" s="255">
        <v>405</v>
      </c>
      <c r="F23" s="255"/>
      <c r="G23" s="136">
        <f t="shared" si="0"/>
        <v>8321.26</v>
      </c>
      <c r="H23" s="130" t="s">
        <v>246</v>
      </c>
      <c r="I23" s="328">
        <f t="shared" si="1"/>
        <v>405</v>
      </c>
      <c r="J23" s="329"/>
      <c r="K23" s="329"/>
      <c r="L23" s="333">
        <v>45572</v>
      </c>
    </row>
    <row r="24" spans="1:12" ht="15" customHeight="1" x14ac:dyDescent="0.25">
      <c r="A24" s="335">
        <v>16</v>
      </c>
      <c r="B24" s="336">
        <v>45547</v>
      </c>
      <c r="C24" s="43">
        <v>756800</v>
      </c>
      <c r="D24" s="44" t="s">
        <v>224</v>
      </c>
      <c r="E24" s="255">
        <v>135</v>
      </c>
      <c r="F24" s="255"/>
      <c r="G24" s="136">
        <f t="shared" si="0"/>
        <v>8456.26</v>
      </c>
      <c r="H24" s="130" t="s">
        <v>246</v>
      </c>
      <c r="I24" s="328">
        <f t="shared" si="1"/>
        <v>135</v>
      </c>
      <c r="J24" s="329"/>
      <c r="K24" s="329"/>
      <c r="L24" s="333">
        <v>45572</v>
      </c>
    </row>
    <row r="25" spans="1:12" ht="15" customHeight="1" x14ac:dyDescent="0.25">
      <c r="A25" s="335">
        <v>17</v>
      </c>
      <c r="B25" s="336">
        <v>45548</v>
      </c>
      <c r="C25" s="43">
        <v>756800</v>
      </c>
      <c r="D25" s="44" t="s">
        <v>224</v>
      </c>
      <c r="E25" s="255">
        <v>135</v>
      </c>
      <c r="F25" s="255"/>
      <c r="G25" s="136">
        <f t="shared" si="0"/>
        <v>8591.26</v>
      </c>
      <c r="H25" s="130" t="s">
        <v>246</v>
      </c>
      <c r="I25" s="328">
        <f t="shared" si="1"/>
        <v>135</v>
      </c>
      <c r="J25" s="329"/>
      <c r="K25" s="329"/>
      <c r="L25" s="333">
        <v>45572</v>
      </c>
    </row>
    <row r="26" spans="1:12" ht="15" customHeight="1" x14ac:dyDescent="0.25">
      <c r="A26" s="335">
        <v>18</v>
      </c>
      <c r="B26" s="336">
        <v>45551</v>
      </c>
      <c r="C26" s="43">
        <v>756800</v>
      </c>
      <c r="D26" s="44" t="s">
        <v>224</v>
      </c>
      <c r="E26" s="255">
        <v>270</v>
      </c>
      <c r="F26" s="255"/>
      <c r="G26" s="136">
        <f t="shared" si="0"/>
        <v>8861.26</v>
      </c>
      <c r="H26" s="130" t="s">
        <v>246</v>
      </c>
      <c r="I26" s="328">
        <f t="shared" si="1"/>
        <v>270</v>
      </c>
      <c r="J26" s="329"/>
      <c r="K26" s="329"/>
      <c r="L26" s="333">
        <v>45572</v>
      </c>
    </row>
    <row r="27" spans="1:12" ht="15" customHeight="1" x14ac:dyDescent="0.25">
      <c r="A27" s="335">
        <v>19</v>
      </c>
      <c r="B27" s="336">
        <v>45551</v>
      </c>
      <c r="C27" s="43">
        <v>756800</v>
      </c>
      <c r="D27" s="44" t="s">
        <v>224</v>
      </c>
      <c r="E27" s="255">
        <v>337.5</v>
      </c>
      <c r="F27" s="255"/>
      <c r="G27" s="136">
        <f t="shared" si="0"/>
        <v>9198.76</v>
      </c>
      <c r="H27" s="130" t="s">
        <v>246</v>
      </c>
      <c r="I27" s="328">
        <f t="shared" si="1"/>
        <v>337.5</v>
      </c>
      <c r="J27" s="329"/>
      <c r="K27" s="329"/>
      <c r="L27" s="333">
        <v>45572</v>
      </c>
    </row>
    <row r="28" spans="1:12" ht="15" customHeight="1" x14ac:dyDescent="0.25">
      <c r="A28" s="335">
        <v>20</v>
      </c>
      <c r="B28" s="336">
        <v>45551</v>
      </c>
      <c r="C28" s="43">
        <v>756800</v>
      </c>
      <c r="D28" s="44" t="s">
        <v>224</v>
      </c>
      <c r="E28" s="255">
        <v>337.5</v>
      </c>
      <c r="F28" s="255"/>
      <c r="G28" s="136">
        <f t="shared" si="0"/>
        <v>9536.26</v>
      </c>
      <c r="H28" s="130" t="s">
        <v>246</v>
      </c>
      <c r="I28" s="328">
        <f t="shared" si="1"/>
        <v>337.5</v>
      </c>
      <c r="J28" s="329"/>
      <c r="K28" s="329"/>
      <c r="L28" s="333">
        <v>45572</v>
      </c>
    </row>
    <row r="29" spans="1:12" ht="15" customHeight="1" x14ac:dyDescent="0.25">
      <c r="A29" s="335">
        <v>21</v>
      </c>
      <c r="B29" s="336">
        <v>45552</v>
      </c>
      <c r="C29" s="43">
        <v>756800</v>
      </c>
      <c r="D29" s="44" t="s">
        <v>224</v>
      </c>
      <c r="E29" s="255">
        <v>472.5</v>
      </c>
      <c r="F29" s="255"/>
      <c r="G29" s="136">
        <f t="shared" si="0"/>
        <v>10008.76</v>
      </c>
      <c r="H29" s="130" t="s">
        <v>246</v>
      </c>
      <c r="I29" s="328">
        <f t="shared" si="1"/>
        <v>472.5</v>
      </c>
      <c r="J29" s="329"/>
      <c r="K29" s="329"/>
      <c r="L29" s="333">
        <v>45572</v>
      </c>
    </row>
    <row r="30" spans="1:12" ht="15" customHeight="1" x14ac:dyDescent="0.25">
      <c r="A30" s="335">
        <v>22</v>
      </c>
      <c r="B30" s="336">
        <v>45552</v>
      </c>
      <c r="C30" s="43" t="s">
        <v>229</v>
      </c>
      <c r="D30" s="44" t="s">
        <v>251</v>
      </c>
      <c r="E30" s="255"/>
      <c r="F30" s="255"/>
      <c r="G30" s="136">
        <f t="shared" ref="G30:G36" si="2">+G29+E30-F30</f>
        <v>10008.76</v>
      </c>
      <c r="H30" s="130" t="s">
        <v>246</v>
      </c>
      <c r="I30" s="328">
        <v>-5400</v>
      </c>
      <c r="J30" s="329">
        <v>5400</v>
      </c>
      <c r="K30" s="329"/>
      <c r="L30" s="333">
        <v>45572</v>
      </c>
    </row>
    <row r="31" spans="1:12" ht="15" customHeight="1" x14ac:dyDescent="0.25">
      <c r="A31" s="335">
        <v>23</v>
      </c>
      <c r="B31" s="336">
        <v>45552</v>
      </c>
      <c r="C31" s="43">
        <v>605100</v>
      </c>
      <c r="D31" s="44" t="s">
        <v>230</v>
      </c>
      <c r="E31" s="255"/>
      <c r="F31" s="255">
        <v>439.99</v>
      </c>
      <c r="G31" s="136">
        <f t="shared" si="2"/>
        <v>9568.77</v>
      </c>
      <c r="H31" s="130" t="s">
        <v>246</v>
      </c>
      <c r="I31" s="328">
        <f t="shared" si="1"/>
        <v>-439.99</v>
      </c>
      <c r="J31" s="329"/>
      <c r="K31" s="329"/>
      <c r="L31" s="333">
        <v>45572</v>
      </c>
    </row>
    <row r="32" spans="1:12" ht="15" customHeight="1" x14ac:dyDescent="0.25">
      <c r="A32" s="335">
        <v>24</v>
      </c>
      <c r="B32" s="336">
        <v>45553</v>
      </c>
      <c r="C32" s="43">
        <v>756800</v>
      </c>
      <c r="D32" s="44" t="s">
        <v>224</v>
      </c>
      <c r="E32" s="255">
        <v>405</v>
      </c>
      <c r="F32" s="255"/>
      <c r="G32" s="136">
        <f t="shared" si="2"/>
        <v>9973.77</v>
      </c>
      <c r="H32" s="130" t="s">
        <v>246</v>
      </c>
      <c r="I32" s="328">
        <f t="shared" si="1"/>
        <v>405</v>
      </c>
      <c r="J32" s="329"/>
      <c r="K32" s="329"/>
      <c r="L32" s="333">
        <v>45572</v>
      </c>
    </row>
    <row r="33" spans="1:14" ht="15" customHeight="1" x14ac:dyDescent="0.25">
      <c r="A33" s="335">
        <v>25</v>
      </c>
      <c r="B33" s="336">
        <v>45553</v>
      </c>
      <c r="C33" s="43">
        <v>652100</v>
      </c>
      <c r="D33" s="44" t="s">
        <v>231</v>
      </c>
      <c r="E33" s="255"/>
      <c r="F33" s="255">
        <v>88.5</v>
      </c>
      <c r="G33" s="136">
        <f t="shared" si="2"/>
        <v>9885.27</v>
      </c>
      <c r="H33" s="130" t="s">
        <v>246</v>
      </c>
      <c r="I33" s="328">
        <f t="shared" si="1"/>
        <v>-88.5</v>
      </c>
      <c r="J33" s="329"/>
      <c r="K33" s="329"/>
      <c r="L33" s="333">
        <v>45572</v>
      </c>
    </row>
    <row r="34" spans="1:14" ht="15" customHeight="1" x14ac:dyDescent="0.25">
      <c r="A34" s="335">
        <v>26</v>
      </c>
      <c r="B34" s="336">
        <v>45554</v>
      </c>
      <c r="C34" s="43">
        <v>756800</v>
      </c>
      <c r="D34" s="44" t="s">
        <v>224</v>
      </c>
      <c r="E34" s="255">
        <v>540</v>
      </c>
      <c r="F34" s="255"/>
      <c r="G34" s="136">
        <f t="shared" si="2"/>
        <v>10425.27</v>
      </c>
      <c r="H34" s="130" t="s">
        <v>246</v>
      </c>
      <c r="I34" s="328">
        <f t="shared" si="1"/>
        <v>540</v>
      </c>
      <c r="J34" s="329"/>
      <c r="K34" s="329"/>
      <c r="L34" s="333">
        <v>45572</v>
      </c>
    </row>
    <row r="35" spans="1:14" ht="15" customHeight="1" x14ac:dyDescent="0.25">
      <c r="A35" s="335">
        <v>27</v>
      </c>
      <c r="B35" s="336">
        <v>45555</v>
      </c>
      <c r="C35" s="43">
        <v>756800</v>
      </c>
      <c r="D35" s="44" t="s">
        <v>224</v>
      </c>
      <c r="E35" s="255">
        <v>202.5</v>
      </c>
      <c r="F35" s="255"/>
      <c r="G35" s="136">
        <f t="shared" si="2"/>
        <v>10627.77</v>
      </c>
      <c r="H35" s="130" t="s">
        <v>246</v>
      </c>
      <c r="I35" s="328">
        <f t="shared" si="1"/>
        <v>202.5</v>
      </c>
      <c r="J35" s="329"/>
      <c r="K35" s="329"/>
      <c r="L35" s="333">
        <v>45572</v>
      </c>
    </row>
    <row r="36" spans="1:14" ht="15" customHeight="1" x14ac:dyDescent="0.25">
      <c r="A36" s="335">
        <v>28</v>
      </c>
      <c r="B36" s="336">
        <v>45556</v>
      </c>
      <c r="C36" s="43">
        <v>606800</v>
      </c>
      <c r="D36" s="44" t="s">
        <v>232</v>
      </c>
      <c r="E36" s="255"/>
      <c r="F36" s="255">
        <v>12</v>
      </c>
      <c r="G36" s="136">
        <f t="shared" si="2"/>
        <v>10615.77</v>
      </c>
      <c r="H36" s="130" t="s">
        <v>246</v>
      </c>
      <c r="I36" s="328">
        <f t="shared" si="1"/>
        <v>-12</v>
      </c>
      <c r="J36" s="329"/>
      <c r="K36" s="329"/>
      <c r="L36" s="333">
        <v>45572</v>
      </c>
    </row>
    <row r="37" spans="1:14" ht="15" customHeight="1" x14ac:dyDescent="0.25">
      <c r="A37" s="335">
        <v>29</v>
      </c>
      <c r="B37" s="336">
        <v>45558</v>
      </c>
      <c r="C37" s="43">
        <v>756800</v>
      </c>
      <c r="D37" s="44" t="s">
        <v>224</v>
      </c>
      <c r="E37" s="255">
        <v>202.5</v>
      </c>
      <c r="F37" s="255"/>
      <c r="G37" s="136">
        <f t="shared" ref="G37:G49" si="3">+G36+E37-F37</f>
        <v>10818.27</v>
      </c>
      <c r="H37" s="130" t="s">
        <v>246</v>
      </c>
      <c r="I37" s="328">
        <f t="shared" si="1"/>
        <v>202.5</v>
      </c>
      <c r="J37" s="329"/>
      <c r="K37" s="329"/>
      <c r="L37" s="333">
        <v>45572</v>
      </c>
    </row>
    <row r="38" spans="1:14" ht="15" customHeight="1" x14ac:dyDescent="0.25">
      <c r="A38" s="335">
        <v>30</v>
      </c>
      <c r="B38" s="336">
        <v>45558</v>
      </c>
      <c r="C38" s="43">
        <v>756800</v>
      </c>
      <c r="D38" s="44" t="s">
        <v>224</v>
      </c>
      <c r="E38" s="255">
        <v>67.5</v>
      </c>
      <c r="F38" s="255"/>
      <c r="G38" s="136">
        <f t="shared" si="3"/>
        <v>10885.77</v>
      </c>
      <c r="H38" s="130" t="s">
        <v>246</v>
      </c>
      <c r="I38" s="328">
        <f t="shared" si="1"/>
        <v>67.5</v>
      </c>
      <c r="J38" s="329"/>
      <c r="K38" s="329"/>
      <c r="L38" s="333">
        <v>45572</v>
      </c>
      <c r="N38" s="288"/>
    </row>
    <row r="39" spans="1:14" ht="15" customHeight="1" x14ac:dyDescent="0.25">
      <c r="A39" s="335">
        <v>31</v>
      </c>
      <c r="B39" s="336">
        <v>45558</v>
      </c>
      <c r="C39" s="43">
        <v>756800</v>
      </c>
      <c r="D39" s="44" t="s">
        <v>224</v>
      </c>
      <c r="E39" s="255">
        <v>135</v>
      </c>
      <c r="F39" s="255"/>
      <c r="G39" s="136">
        <f t="shared" si="3"/>
        <v>11020.77</v>
      </c>
      <c r="H39" s="130" t="s">
        <v>246</v>
      </c>
      <c r="I39" s="328">
        <f t="shared" si="1"/>
        <v>135</v>
      </c>
      <c r="J39" s="329"/>
      <c r="K39" s="329"/>
      <c r="L39" s="333">
        <v>45572</v>
      </c>
      <c r="N39" s="288"/>
    </row>
    <row r="40" spans="1:14" ht="15" customHeight="1" x14ac:dyDescent="0.25">
      <c r="A40" s="335">
        <v>32</v>
      </c>
      <c r="B40" s="336">
        <v>45559</v>
      </c>
      <c r="C40" s="43">
        <v>756800</v>
      </c>
      <c r="D40" s="44" t="s">
        <v>224</v>
      </c>
      <c r="E40" s="255">
        <v>270</v>
      </c>
      <c r="F40" s="255"/>
      <c r="G40" s="136">
        <f t="shared" si="3"/>
        <v>11290.77</v>
      </c>
      <c r="H40" s="130" t="s">
        <v>246</v>
      </c>
      <c r="I40" s="328">
        <f t="shared" si="1"/>
        <v>270</v>
      </c>
      <c r="J40" s="329"/>
      <c r="K40" s="329"/>
      <c r="L40" s="333">
        <v>45572</v>
      </c>
    </row>
    <row r="41" spans="1:14" ht="15" customHeight="1" x14ac:dyDescent="0.25">
      <c r="A41" s="335">
        <v>33</v>
      </c>
      <c r="B41" s="336">
        <v>45559</v>
      </c>
      <c r="C41" s="43">
        <v>756800</v>
      </c>
      <c r="D41" s="44" t="s">
        <v>244</v>
      </c>
      <c r="E41" s="255">
        <v>1235</v>
      </c>
      <c r="F41" s="255"/>
      <c r="G41" s="136">
        <f t="shared" si="3"/>
        <v>12525.77</v>
      </c>
      <c r="H41" s="130" t="s">
        <v>246</v>
      </c>
      <c r="I41" s="328">
        <f t="shared" si="1"/>
        <v>1235</v>
      </c>
      <c r="J41" s="329"/>
      <c r="K41" s="329"/>
      <c r="L41" s="333">
        <v>45572</v>
      </c>
    </row>
    <row r="42" spans="1:14" ht="15" customHeight="1" x14ac:dyDescent="0.25">
      <c r="A42" s="335">
        <v>34</v>
      </c>
      <c r="B42" s="336">
        <v>45559</v>
      </c>
      <c r="C42" s="43" t="s">
        <v>229</v>
      </c>
      <c r="D42" s="44" t="s">
        <v>252</v>
      </c>
      <c r="E42" s="255"/>
      <c r="F42" s="255"/>
      <c r="G42" s="136">
        <f t="shared" si="3"/>
        <v>12525.77</v>
      </c>
      <c r="H42" s="130" t="s">
        <v>246</v>
      </c>
      <c r="I42" s="328">
        <v>5</v>
      </c>
      <c r="J42" s="329"/>
      <c r="K42" s="329">
        <v>-5</v>
      </c>
      <c r="L42" s="333">
        <v>45572</v>
      </c>
    </row>
    <row r="43" spans="1:14" ht="15" customHeight="1" x14ac:dyDescent="0.25">
      <c r="A43" s="335">
        <v>35</v>
      </c>
      <c r="B43" s="336">
        <v>45560</v>
      </c>
      <c r="C43" s="43">
        <v>756800</v>
      </c>
      <c r="D43" s="44" t="s">
        <v>224</v>
      </c>
      <c r="E43" s="255">
        <v>67.5</v>
      </c>
      <c r="F43" s="255"/>
      <c r="G43" s="136">
        <f t="shared" si="3"/>
        <v>12593.27</v>
      </c>
      <c r="H43" s="130" t="s">
        <v>246</v>
      </c>
      <c r="I43" s="328">
        <f t="shared" si="1"/>
        <v>67.5</v>
      </c>
      <c r="J43" s="329"/>
      <c r="K43" s="329"/>
      <c r="L43" s="333">
        <v>45572</v>
      </c>
    </row>
    <row r="44" spans="1:14" ht="15" customHeight="1" x14ac:dyDescent="0.25">
      <c r="A44" s="335">
        <v>36</v>
      </c>
      <c r="B44" s="336">
        <v>45561</v>
      </c>
      <c r="C44" s="43">
        <v>756800</v>
      </c>
      <c r="D44" s="44" t="s">
        <v>224</v>
      </c>
      <c r="E44" s="255">
        <v>270</v>
      </c>
      <c r="F44" s="255"/>
      <c r="G44" s="136">
        <f t="shared" si="3"/>
        <v>12863.27</v>
      </c>
      <c r="H44" s="130" t="s">
        <v>246</v>
      </c>
      <c r="I44" s="328">
        <f t="shared" si="1"/>
        <v>270</v>
      </c>
      <c r="J44" s="329"/>
      <c r="K44" s="329"/>
      <c r="L44" s="333">
        <v>45572</v>
      </c>
    </row>
    <row r="45" spans="1:14" ht="15" customHeight="1" x14ac:dyDescent="0.25">
      <c r="A45" s="335">
        <v>37</v>
      </c>
      <c r="B45" s="336">
        <v>45562</v>
      </c>
      <c r="C45" s="43">
        <v>756800</v>
      </c>
      <c r="D45" s="44" t="s">
        <v>224</v>
      </c>
      <c r="E45" s="255">
        <v>337.5</v>
      </c>
      <c r="F45" s="255"/>
      <c r="G45" s="136">
        <f t="shared" si="3"/>
        <v>13200.77</v>
      </c>
      <c r="H45" s="130" t="s">
        <v>246</v>
      </c>
      <c r="I45" s="328">
        <f t="shared" si="1"/>
        <v>337.5</v>
      </c>
      <c r="J45" s="329"/>
      <c r="K45" s="329"/>
      <c r="L45" s="333">
        <v>45572</v>
      </c>
    </row>
    <row r="46" spans="1:14" ht="15" customHeight="1" x14ac:dyDescent="0.25">
      <c r="A46" s="335">
        <v>38</v>
      </c>
      <c r="B46" s="336">
        <v>45565</v>
      </c>
      <c r="C46" s="43">
        <v>756800</v>
      </c>
      <c r="D46" s="44" t="s">
        <v>224</v>
      </c>
      <c r="E46" s="255">
        <v>67.5</v>
      </c>
      <c r="F46" s="255"/>
      <c r="G46" s="136">
        <f t="shared" si="3"/>
        <v>13268.27</v>
      </c>
      <c r="H46" s="130" t="s">
        <v>246</v>
      </c>
      <c r="I46" s="328">
        <f t="shared" si="1"/>
        <v>67.5</v>
      </c>
      <c r="J46" s="329"/>
      <c r="K46" s="329"/>
      <c r="L46" s="333">
        <v>45572</v>
      </c>
    </row>
    <row r="47" spans="1:14" ht="15" customHeight="1" x14ac:dyDescent="0.25">
      <c r="A47" s="335">
        <v>39</v>
      </c>
      <c r="B47" s="336">
        <v>45565</v>
      </c>
      <c r="C47" s="43">
        <v>756800</v>
      </c>
      <c r="D47" s="44" t="s">
        <v>224</v>
      </c>
      <c r="E47" s="255">
        <v>202.5</v>
      </c>
      <c r="F47" s="255"/>
      <c r="G47" s="136">
        <f t="shared" si="3"/>
        <v>13470.77</v>
      </c>
      <c r="H47" s="130" t="s">
        <v>246</v>
      </c>
      <c r="I47" s="328">
        <f t="shared" si="1"/>
        <v>202.5</v>
      </c>
      <c r="J47" s="329"/>
      <c r="K47" s="329"/>
      <c r="L47" s="333">
        <v>45572</v>
      </c>
    </row>
    <row r="48" spans="1:14" ht="15" customHeight="1" x14ac:dyDescent="0.25">
      <c r="A48" s="335">
        <v>40</v>
      </c>
      <c r="B48" s="336">
        <v>45565</v>
      </c>
      <c r="C48" s="43">
        <v>756800</v>
      </c>
      <c r="D48" s="44" t="s">
        <v>224</v>
      </c>
      <c r="E48" s="255">
        <v>405</v>
      </c>
      <c r="F48" s="255"/>
      <c r="G48" s="136">
        <f t="shared" si="3"/>
        <v>13875.77</v>
      </c>
      <c r="H48" s="130" t="s">
        <v>246</v>
      </c>
      <c r="I48" s="328">
        <f t="shared" si="1"/>
        <v>405</v>
      </c>
      <c r="J48" s="329"/>
      <c r="K48" s="329"/>
      <c r="L48" s="333">
        <v>45572</v>
      </c>
    </row>
    <row r="49" spans="1:17" ht="15" customHeight="1" x14ac:dyDescent="0.25">
      <c r="A49" s="335">
        <v>41</v>
      </c>
      <c r="B49" s="336">
        <v>45565</v>
      </c>
      <c r="C49" s="43">
        <v>626200</v>
      </c>
      <c r="D49" s="44" t="s">
        <v>233</v>
      </c>
      <c r="E49" s="255"/>
      <c r="F49" s="255">
        <v>5.99</v>
      </c>
      <c r="G49" s="136">
        <f t="shared" si="3"/>
        <v>13869.78</v>
      </c>
      <c r="H49" s="130" t="s">
        <v>246</v>
      </c>
      <c r="I49" s="328">
        <f t="shared" si="1"/>
        <v>-5.99</v>
      </c>
      <c r="J49" s="329"/>
      <c r="K49" s="329"/>
      <c r="L49" s="333">
        <v>45572</v>
      </c>
    </row>
    <row r="50" spans="1:17" ht="15" customHeight="1" x14ac:dyDescent="0.25">
      <c r="A50" s="335">
        <v>42</v>
      </c>
      <c r="B50" s="336">
        <v>45565</v>
      </c>
      <c r="C50" s="43">
        <v>641200</v>
      </c>
      <c r="D50" s="44" t="s">
        <v>234</v>
      </c>
      <c r="E50" s="255"/>
      <c r="F50" s="255">
        <v>426.42</v>
      </c>
      <c r="G50" s="136">
        <f t="shared" ref="G50:G81" si="4">+G49+E50-F50</f>
        <v>13443.36</v>
      </c>
      <c r="H50" s="130" t="s">
        <v>246</v>
      </c>
      <c r="I50" s="328">
        <f t="shared" si="1"/>
        <v>-426.42</v>
      </c>
      <c r="J50" s="329"/>
      <c r="K50" s="329"/>
      <c r="L50" s="333">
        <v>45572</v>
      </c>
    </row>
    <row r="51" spans="1:17" ht="15" customHeight="1" x14ac:dyDescent="0.25">
      <c r="A51" s="335">
        <v>43</v>
      </c>
      <c r="B51" s="336">
        <v>45565</v>
      </c>
      <c r="C51" s="43">
        <v>641200</v>
      </c>
      <c r="D51" s="44" t="s">
        <v>235</v>
      </c>
      <c r="E51" s="255"/>
      <c r="F51" s="255">
        <v>399.32</v>
      </c>
      <c r="G51" s="136">
        <f t="shared" si="4"/>
        <v>13044.04</v>
      </c>
      <c r="H51" s="130" t="s">
        <v>246</v>
      </c>
      <c r="I51" s="328">
        <f t="shared" si="1"/>
        <v>-399.32</v>
      </c>
      <c r="J51" s="329"/>
      <c r="K51" s="329"/>
      <c r="L51" s="333">
        <v>45572</v>
      </c>
    </row>
    <row r="52" spans="1:17" ht="15" customHeight="1" x14ac:dyDescent="0.25">
      <c r="A52" s="335">
        <v>44</v>
      </c>
      <c r="B52" s="336">
        <v>45565</v>
      </c>
      <c r="C52" s="43">
        <v>641200</v>
      </c>
      <c r="D52" s="44" t="s">
        <v>236</v>
      </c>
      <c r="E52" s="255"/>
      <c r="F52" s="255">
        <v>174.19</v>
      </c>
      <c r="G52" s="136">
        <f t="shared" si="4"/>
        <v>12869.85</v>
      </c>
      <c r="H52" s="130" t="s">
        <v>246</v>
      </c>
      <c r="I52" s="328">
        <f t="shared" si="1"/>
        <v>-174.19</v>
      </c>
      <c r="J52" s="329"/>
      <c r="K52" s="329"/>
      <c r="L52" s="333">
        <v>45572</v>
      </c>
    </row>
    <row r="53" spans="1:17" ht="15" customHeight="1" x14ac:dyDescent="0.25">
      <c r="A53" s="335">
        <v>45</v>
      </c>
      <c r="B53" s="336">
        <v>45565</v>
      </c>
      <c r="C53" s="43">
        <v>641200</v>
      </c>
      <c r="D53" s="44" t="s">
        <v>237</v>
      </c>
      <c r="E53" s="255"/>
      <c r="F53" s="255">
        <v>504.06</v>
      </c>
      <c r="G53" s="136">
        <f t="shared" si="4"/>
        <v>12365.79</v>
      </c>
      <c r="H53" s="130" t="s">
        <v>246</v>
      </c>
      <c r="I53" s="328">
        <f t="shared" si="1"/>
        <v>-504.06</v>
      </c>
      <c r="J53" s="329"/>
      <c r="K53" s="329"/>
      <c r="L53" s="333">
        <v>45572</v>
      </c>
    </row>
    <row r="54" spans="1:17" ht="15" customHeight="1" x14ac:dyDescent="0.25">
      <c r="A54" s="335">
        <v>46</v>
      </c>
      <c r="B54" s="336">
        <v>45565</v>
      </c>
      <c r="C54" s="43">
        <v>641200</v>
      </c>
      <c r="D54" s="44" t="s">
        <v>238</v>
      </c>
      <c r="E54" s="255"/>
      <c r="F54" s="255">
        <v>272.67</v>
      </c>
      <c r="G54" s="136">
        <f t="shared" si="4"/>
        <v>12093.12</v>
      </c>
      <c r="H54" s="130" t="s">
        <v>246</v>
      </c>
      <c r="I54" s="328">
        <f t="shared" si="1"/>
        <v>-272.67</v>
      </c>
      <c r="J54" s="329"/>
      <c r="K54" s="329"/>
      <c r="L54" s="333">
        <v>45572</v>
      </c>
    </row>
    <row r="55" spans="1:17" ht="15" customHeight="1" x14ac:dyDescent="0.25">
      <c r="A55" s="335">
        <v>47</v>
      </c>
      <c r="B55" s="336">
        <v>45565</v>
      </c>
      <c r="C55" s="43">
        <v>645800</v>
      </c>
      <c r="D55" s="44" t="s">
        <v>239</v>
      </c>
      <c r="E55" s="255"/>
      <c r="F55" s="255">
        <v>661.03</v>
      </c>
      <c r="G55" s="136">
        <f t="shared" si="4"/>
        <v>11432.09</v>
      </c>
      <c r="H55" s="130" t="s">
        <v>246</v>
      </c>
      <c r="I55" s="328">
        <f t="shared" si="1"/>
        <v>-661.03</v>
      </c>
      <c r="J55" s="329"/>
      <c r="K55" s="329"/>
      <c r="L55" s="333">
        <v>45572</v>
      </c>
    </row>
    <row r="56" spans="1:17" ht="15" customHeight="1" x14ac:dyDescent="0.25">
      <c r="A56" s="335">
        <v>48</v>
      </c>
      <c r="B56" s="336">
        <v>45565</v>
      </c>
      <c r="C56" s="43">
        <v>645700</v>
      </c>
      <c r="D56" s="44" t="s">
        <v>240</v>
      </c>
      <c r="E56" s="255"/>
      <c r="F56" s="255">
        <v>67.599999999999994</v>
      </c>
      <c r="G56" s="136">
        <f t="shared" si="4"/>
        <v>11364.49</v>
      </c>
      <c r="H56" s="130" t="s">
        <v>246</v>
      </c>
      <c r="I56" s="328">
        <f t="shared" si="1"/>
        <v>-67.599999999999994</v>
      </c>
      <c r="J56" s="329"/>
      <c r="K56" s="329"/>
      <c r="L56" s="333">
        <v>45572</v>
      </c>
    </row>
    <row r="57" spans="1:17" ht="15" customHeight="1" x14ac:dyDescent="0.25">
      <c r="A57" s="335">
        <v>49</v>
      </c>
      <c r="B57" s="336">
        <v>45565</v>
      </c>
      <c r="C57" s="43">
        <v>622610</v>
      </c>
      <c r="D57" s="44" t="s">
        <v>241</v>
      </c>
      <c r="E57" s="255"/>
      <c r="F57" s="255">
        <v>105</v>
      </c>
      <c r="G57" s="136">
        <f t="shared" si="4"/>
        <v>11259.49</v>
      </c>
      <c r="H57" s="130" t="s">
        <v>246</v>
      </c>
      <c r="I57" s="328">
        <f t="shared" si="1"/>
        <v>-105</v>
      </c>
      <c r="J57" s="329"/>
      <c r="K57" s="329"/>
      <c r="L57" s="333">
        <v>45572</v>
      </c>
    </row>
    <row r="58" spans="1:17" ht="15" customHeight="1" x14ac:dyDescent="0.25">
      <c r="A58" s="335">
        <v>50</v>
      </c>
      <c r="B58" s="336">
        <v>45566</v>
      </c>
      <c r="C58" s="43">
        <v>756800</v>
      </c>
      <c r="D58" s="44" t="s">
        <v>224</v>
      </c>
      <c r="E58" s="255">
        <v>270</v>
      </c>
      <c r="F58" s="255"/>
      <c r="G58" s="136">
        <f t="shared" si="4"/>
        <v>11529.49</v>
      </c>
      <c r="H58" s="130" t="s">
        <v>246</v>
      </c>
      <c r="I58" s="328">
        <f t="shared" si="1"/>
        <v>270</v>
      </c>
      <c r="J58" s="329"/>
      <c r="K58" s="329"/>
      <c r="L58" s="333">
        <v>45572</v>
      </c>
    </row>
    <row r="59" spans="1:17" ht="15" customHeight="1" x14ac:dyDescent="0.25">
      <c r="A59" s="335">
        <v>51</v>
      </c>
      <c r="B59" s="336">
        <v>45566</v>
      </c>
      <c r="C59" s="173">
        <v>756800</v>
      </c>
      <c r="D59" s="175" t="s">
        <v>242</v>
      </c>
      <c r="E59" s="255">
        <v>3671</v>
      </c>
      <c r="F59" s="255"/>
      <c r="G59" s="136">
        <f t="shared" si="4"/>
        <v>15200.49</v>
      </c>
      <c r="H59" s="130" t="s">
        <v>246</v>
      </c>
      <c r="I59" s="328">
        <f t="shared" si="1"/>
        <v>3671</v>
      </c>
      <c r="J59" s="329"/>
      <c r="K59" s="329"/>
      <c r="L59" s="333">
        <v>45572</v>
      </c>
    </row>
    <row r="60" spans="1:17" ht="15" customHeight="1" x14ac:dyDescent="0.25">
      <c r="A60" s="335">
        <v>52</v>
      </c>
      <c r="B60" s="336">
        <v>45566</v>
      </c>
      <c r="C60" s="173">
        <v>756800</v>
      </c>
      <c r="D60" s="175" t="s">
        <v>242</v>
      </c>
      <c r="E60" s="255">
        <v>1957.5</v>
      </c>
      <c r="F60" s="255"/>
      <c r="G60" s="136">
        <f t="shared" si="4"/>
        <v>17157.989999999998</v>
      </c>
      <c r="H60" s="130" t="s">
        <v>246</v>
      </c>
      <c r="I60" s="328">
        <f t="shared" si="1"/>
        <v>1957.5</v>
      </c>
      <c r="J60" s="329"/>
      <c r="K60" s="329"/>
      <c r="L60" s="333">
        <v>45572</v>
      </c>
    </row>
    <row r="61" spans="1:17" ht="15" customHeight="1" x14ac:dyDescent="0.25">
      <c r="A61" s="335">
        <v>53</v>
      </c>
      <c r="B61" s="336">
        <v>45566</v>
      </c>
      <c r="C61" s="173">
        <v>756800</v>
      </c>
      <c r="D61" s="175" t="s">
        <v>242</v>
      </c>
      <c r="E61" s="255">
        <v>3944.5</v>
      </c>
      <c r="F61" s="255"/>
      <c r="G61" s="136">
        <f t="shared" si="4"/>
        <v>21102.489999999998</v>
      </c>
      <c r="H61" s="130" t="s">
        <v>246</v>
      </c>
      <c r="I61" s="328">
        <f t="shared" si="1"/>
        <v>3944.5</v>
      </c>
      <c r="J61" s="329"/>
      <c r="K61" s="329"/>
      <c r="L61" s="333">
        <v>45572</v>
      </c>
    </row>
    <row r="62" spans="1:17" ht="15" customHeight="1" x14ac:dyDescent="0.25">
      <c r="A62" s="335">
        <v>54</v>
      </c>
      <c r="B62" s="336">
        <v>45566</v>
      </c>
      <c r="C62" s="173">
        <v>756800</v>
      </c>
      <c r="D62" s="175" t="s">
        <v>242</v>
      </c>
      <c r="E62" s="255">
        <v>3714.5</v>
      </c>
      <c r="F62" s="255"/>
      <c r="G62" s="136">
        <f t="shared" si="4"/>
        <v>24816.989999999998</v>
      </c>
      <c r="H62" s="130" t="s">
        <v>246</v>
      </c>
      <c r="I62" s="328">
        <f t="shared" si="1"/>
        <v>3714.5</v>
      </c>
      <c r="J62" s="329"/>
      <c r="K62" s="329"/>
      <c r="L62" s="333">
        <v>45572</v>
      </c>
    </row>
    <row r="63" spans="1:17" ht="15" customHeight="1" x14ac:dyDescent="0.25">
      <c r="A63" s="335">
        <v>55</v>
      </c>
      <c r="B63" s="336">
        <v>45566</v>
      </c>
      <c r="C63" s="43">
        <v>756800</v>
      </c>
      <c r="D63" s="44" t="s">
        <v>243</v>
      </c>
      <c r="E63" s="255">
        <v>18</v>
      </c>
      <c r="F63" s="255"/>
      <c r="G63" s="136">
        <f t="shared" si="4"/>
        <v>24834.989999999998</v>
      </c>
      <c r="H63" s="130"/>
      <c r="I63" s="328">
        <v>0</v>
      </c>
      <c r="J63" s="329"/>
      <c r="K63" s="329">
        <v>18</v>
      </c>
      <c r="L63" s="333"/>
    </row>
    <row r="64" spans="1:17" ht="15" customHeight="1" x14ac:dyDescent="0.25">
      <c r="A64" s="335">
        <v>56</v>
      </c>
      <c r="B64" s="336">
        <v>45567</v>
      </c>
      <c r="C64" s="43">
        <v>756800</v>
      </c>
      <c r="D64" s="44" t="s">
        <v>224</v>
      </c>
      <c r="E64" s="255">
        <v>135</v>
      </c>
      <c r="F64" s="255"/>
      <c r="G64" s="136">
        <f t="shared" si="4"/>
        <v>24969.989999999998</v>
      </c>
      <c r="H64" s="130" t="s">
        <v>246</v>
      </c>
      <c r="I64" s="328">
        <f t="shared" si="1"/>
        <v>135</v>
      </c>
      <c r="J64" s="329"/>
      <c r="K64" s="329"/>
      <c r="L64" s="333">
        <v>45572</v>
      </c>
      <c r="N64" s="323"/>
      <c r="O64" s="337"/>
      <c r="P64" s="323"/>
      <c r="Q64" s="337"/>
    </row>
    <row r="65" spans="1:17" ht="15" customHeight="1" x14ac:dyDescent="0.25">
      <c r="A65" s="335">
        <v>57</v>
      </c>
      <c r="B65" s="336">
        <v>45568</v>
      </c>
      <c r="C65" s="43">
        <v>756800</v>
      </c>
      <c r="D65" s="44" t="s">
        <v>224</v>
      </c>
      <c r="E65" s="255">
        <v>607.5</v>
      </c>
      <c r="F65" s="255"/>
      <c r="G65" s="136">
        <f t="shared" si="4"/>
        <v>25577.489999999998</v>
      </c>
      <c r="H65" s="130" t="s">
        <v>246</v>
      </c>
      <c r="I65" s="328">
        <f t="shared" si="1"/>
        <v>607.5</v>
      </c>
      <c r="J65" s="329"/>
      <c r="K65" s="329"/>
      <c r="L65" s="333">
        <v>45572</v>
      </c>
      <c r="N65" s="323"/>
      <c r="O65" s="337"/>
      <c r="P65" s="323"/>
      <c r="Q65" s="337"/>
    </row>
    <row r="66" spans="1:17" ht="15" customHeight="1" x14ac:dyDescent="0.25">
      <c r="A66" s="335">
        <v>58</v>
      </c>
      <c r="B66" s="336">
        <v>45568</v>
      </c>
      <c r="C66" s="43">
        <v>622640</v>
      </c>
      <c r="D66" s="44" t="s">
        <v>412</v>
      </c>
      <c r="E66" s="255"/>
      <c r="F66" s="255">
        <v>240</v>
      </c>
      <c r="G66" s="136">
        <f t="shared" si="4"/>
        <v>25337.489999999998</v>
      </c>
      <c r="H66" s="130" t="s">
        <v>246</v>
      </c>
      <c r="I66" s="328">
        <f t="shared" si="1"/>
        <v>-240</v>
      </c>
      <c r="J66" s="329"/>
      <c r="K66" s="329"/>
      <c r="L66" s="333">
        <v>45572</v>
      </c>
      <c r="N66" s="323"/>
      <c r="O66" s="337"/>
      <c r="P66" s="323"/>
      <c r="Q66" s="337"/>
    </row>
    <row r="67" spans="1:17" ht="15" customHeight="1" x14ac:dyDescent="0.25">
      <c r="A67" s="335">
        <v>59</v>
      </c>
      <c r="B67" s="336">
        <v>45569</v>
      </c>
      <c r="C67" s="43">
        <v>756800</v>
      </c>
      <c r="D67" s="44" t="s">
        <v>224</v>
      </c>
      <c r="E67" s="255">
        <v>135</v>
      </c>
      <c r="F67" s="255"/>
      <c r="G67" s="136">
        <f t="shared" si="4"/>
        <v>25472.489999999998</v>
      </c>
      <c r="H67" s="130" t="s">
        <v>246</v>
      </c>
      <c r="I67" s="328">
        <f t="shared" si="1"/>
        <v>135</v>
      </c>
      <c r="J67" s="329"/>
      <c r="K67" s="329"/>
      <c r="L67" s="333">
        <v>45572</v>
      </c>
    </row>
    <row r="68" spans="1:17" ht="15" customHeight="1" x14ac:dyDescent="0.25">
      <c r="A68" s="335">
        <v>60</v>
      </c>
      <c r="B68" s="336">
        <v>45569</v>
      </c>
      <c r="C68" s="43">
        <v>622640</v>
      </c>
      <c r="D68" s="44" t="s">
        <v>245</v>
      </c>
      <c r="E68" s="255"/>
      <c r="F68" s="255">
        <v>52.5</v>
      </c>
      <c r="G68" s="136">
        <f t="shared" si="4"/>
        <v>25419.989999999998</v>
      </c>
      <c r="H68" s="130" t="s">
        <v>246</v>
      </c>
      <c r="I68" s="328">
        <f t="shared" si="1"/>
        <v>-52.5</v>
      </c>
      <c r="J68" s="329"/>
      <c r="K68" s="329"/>
      <c r="L68" s="333">
        <v>45572</v>
      </c>
      <c r="N68" s="327" t="s">
        <v>249</v>
      </c>
      <c r="O68" s="329">
        <v>4746.8100000000004</v>
      </c>
      <c r="P68" s="327" t="s">
        <v>248</v>
      </c>
      <c r="Q68" s="329">
        <v>30496.33</v>
      </c>
    </row>
    <row r="69" spans="1:17" ht="15" customHeight="1" x14ac:dyDescent="0.25">
      <c r="A69" s="335">
        <v>61</v>
      </c>
      <c r="B69" s="336">
        <v>45570</v>
      </c>
      <c r="C69" s="43">
        <v>652100</v>
      </c>
      <c r="D69" s="44" t="s">
        <v>231</v>
      </c>
      <c r="E69" s="255"/>
      <c r="F69" s="255">
        <v>8561</v>
      </c>
      <c r="G69" s="136">
        <f t="shared" si="4"/>
        <v>16858.989999999998</v>
      </c>
      <c r="H69" s="130" t="s">
        <v>246</v>
      </c>
      <c r="I69" s="328">
        <f t="shared" si="1"/>
        <v>-8561</v>
      </c>
      <c r="J69" s="329"/>
      <c r="K69" s="329"/>
      <c r="L69" s="333">
        <v>45572</v>
      </c>
      <c r="N69" s="327" t="s">
        <v>250</v>
      </c>
      <c r="O69" s="329">
        <f>SUM(I7:I70)</f>
        <v>4746.8100000000013</v>
      </c>
      <c r="P69" s="327" t="s">
        <v>250</v>
      </c>
      <c r="Q69" s="329">
        <f>SUM(J7:J70)</f>
        <v>30496.330000000009</v>
      </c>
    </row>
    <row r="70" spans="1:17" ht="15" customHeight="1" x14ac:dyDescent="0.25">
      <c r="A70" s="335">
        <v>62</v>
      </c>
      <c r="B70" s="336">
        <v>45570</v>
      </c>
      <c r="C70" s="43" t="s">
        <v>229</v>
      </c>
      <c r="D70" s="44" t="s">
        <v>253</v>
      </c>
      <c r="E70" s="255"/>
      <c r="F70" s="255"/>
      <c r="G70" s="136">
        <f t="shared" si="4"/>
        <v>16858.989999999998</v>
      </c>
      <c r="H70" s="130" t="s">
        <v>246</v>
      </c>
      <c r="I70" s="328">
        <v>-6000</v>
      </c>
      <c r="J70" s="329">
        <v>6000</v>
      </c>
      <c r="K70" s="329"/>
      <c r="L70" s="333">
        <v>45572</v>
      </c>
      <c r="N70" s="327" t="s">
        <v>247</v>
      </c>
      <c r="O70" s="329">
        <f>O68-O69</f>
        <v>0</v>
      </c>
      <c r="P70" s="327" t="s">
        <v>247</v>
      </c>
      <c r="Q70" s="329">
        <f>Q68-Q69</f>
        <v>0</v>
      </c>
    </row>
    <row r="71" spans="1:17" ht="15" customHeight="1" x14ac:dyDescent="0.25">
      <c r="A71" s="335">
        <v>63</v>
      </c>
      <c r="B71" s="336">
        <v>45572</v>
      </c>
      <c r="C71" s="43">
        <v>756800</v>
      </c>
      <c r="D71" s="44" t="s">
        <v>224</v>
      </c>
      <c r="E71" s="255">
        <v>675</v>
      </c>
      <c r="F71" s="255"/>
      <c r="G71" s="136">
        <f t="shared" si="4"/>
        <v>17533.989999999998</v>
      </c>
      <c r="H71" s="130" t="s">
        <v>246</v>
      </c>
      <c r="I71" s="328">
        <f t="shared" si="1"/>
        <v>675</v>
      </c>
      <c r="J71" s="329"/>
      <c r="K71" s="329"/>
      <c r="L71" s="333">
        <v>45601</v>
      </c>
    </row>
    <row r="72" spans="1:17" ht="15" customHeight="1" x14ac:dyDescent="0.25">
      <c r="A72" s="335">
        <v>64</v>
      </c>
      <c r="B72" s="336">
        <v>45572</v>
      </c>
      <c r="C72" s="43">
        <v>756800</v>
      </c>
      <c r="D72" s="44" t="s">
        <v>224</v>
      </c>
      <c r="E72" s="255">
        <v>202.5</v>
      </c>
      <c r="F72" s="255"/>
      <c r="G72" s="136">
        <f t="shared" si="4"/>
        <v>17736.489999999998</v>
      </c>
      <c r="H72" s="130" t="s">
        <v>246</v>
      </c>
      <c r="I72" s="328">
        <f t="shared" si="1"/>
        <v>202.5</v>
      </c>
      <c r="J72" s="329"/>
      <c r="K72" s="329"/>
      <c r="L72" s="333">
        <v>45601</v>
      </c>
    </row>
    <row r="73" spans="1:17" ht="15" customHeight="1" x14ac:dyDescent="0.25">
      <c r="A73" s="335">
        <v>65</v>
      </c>
      <c r="B73" s="336">
        <v>45572</v>
      </c>
      <c r="C73" s="43">
        <v>756800</v>
      </c>
      <c r="D73" s="44" t="s">
        <v>224</v>
      </c>
      <c r="E73" s="255">
        <v>202.5</v>
      </c>
      <c r="F73" s="255"/>
      <c r="G73" s="136">
        <f t="shared" si="4"/>
        <v>17938.989999999998</v>
      </c>
      <c r="H73" s="130" t="s">
        <v>246</v>
      </c>
      <c r="I73" s="328">
        <f t="shared" ref="I73:I136" si="5">E73-F73</f>
        <v>202.5</v>
      </c>
      <c r="J73" s="329"/>
      <c r="K73" s="329"/>
      <c r="L73" s="333">
        <v>45601</v>
      </c>
    </row>
    <row r="74" spans="1:17" ht="15" customHeight="1" x14ac:dyDescent="0.25">
      <c r="A74" s="335">
        <v>66</v>
      </c>
      <c r="B74" s="336">
        <v>45573</v>
      </c>
      <c r="C74" s="43">
        <v>756800</v>
      </c>
      <c r="D74" s="44" t="s">
        <v>224</v>
      </c>
      <c r="E74" s="255">
        <v>607.5</v>
      </c>
      <c r="F74" s="255"/>
      <c r="G74" s="136">
        <f t="shared" si="4"/>
        <v>18546.489999999998</v>
      </c>
      <c r="H74" s="130" t="s">
        <v>246</v>
      </c>
      <c r="I74" s="328">
        <f t="shared" si="5"/>
        <v>607.5</v>
      </c>
      <c r="J74" s="329"/>
      <c r="K74" s="329"/>
      <c r="L74" s="333">
        <v>45601</v>
      </c>
    </row>
    <row r="75" spans="1:17" ht="15" customHeight="1" x14ac:dyDescent="0.25">
      <c r="A75" s="335">
        <v>67</v>
      </c>
      <c r="B75" s="336">
        <v>45574</v>
      </c>
      <c r="C75" s="43">
        <v>756800</v>
      </c>
      <c r="D75" s="44" t="s">
        <v>224</v>
      </c>
      <c r="E75" s="255">
        <v>405</v>
      </c>
      <c r="F75" s="255"/>
      <c r="G75" s="136">
        <f t="shared" si="4"/>
        <v>18951.489999999998</v>
      </c>
      <c r="H75" s="130" t="s">
        <v>246</v>
      </c>
      <c r="I75" s="328">
        <f t="shared" si="5"/>
        <v>405</v>
      </c>
      <c r="J75" s="329"/>
      <c r="K75" s="329"/>
      <c r="L75" s="333">
        <v>45601</v>
      </c>
    </row>
    <row r="76" spans="1:17" ht="15" customHeight="1" x14ac:dyDescent="0.25">
      <c r="A76" s="335">
        <v>68</v>
      </c>
      <c r="B76" s="336">
        <v>45575</v>
      </c>
      <c r="C76" s="43">
        <v>756800</v>
      </c>
      <c r="D76" s="44" t="s">
        <v>224</v>
      </c>
      <c r="E76" s="255">
        <v>135</v>
      </c>
      <c r="F76" s="255"/>
      <c r="G76" s="136">
        <f t="shared" si="4"/>
        <v>19086.489999999998</v>
      </c>
      <c r="H76" s="130" t="s">
        <v>246</v>
      </c>
      <c r="I76" s="328">
        <f t="shared" si="5"/>
        <v>135</v>
      </c>
      <c r="J76" s="329"/>
      <c r="K76" s="329"/>
      <c r="L76" s="333">
        <v>45601</v>
      </c>
    </row>
    <row r="77" spans="1:17" ht="15" customHeight="1" x14ac:dyDescent="0.25">
      <c r="A77" s="335">
        <v>69</v>
      </c>
      <c r="B77" s="336">
        <v>45576</v>
      </c>
      <c r="C77" s="43">
        <v>756800</v>
      </c>
      <c r="D77" s="44" t="s">
        <v>224</v>
      </c>
      <c r="E77" s="255">
        <v>472.5</v>
      </c>
      <c r="F77" s="255"/>
      <c r="G77" s="136">
        <f t="shared" si="4"/>
        <v>19558.989999999998</v>
      </c>
      <c r="H77" s="130" t="s">
        <v>246</v>
      </c>
      <c r="I77" s="328">
        <f t="shared" si="5"/>
        <v>472.5</v>
      </c>
      <c r="J77" s="329"/>
      <c r="K77" s="329"/>
      <c r="L77" s="333">
        <v>45601</v>
      </c>
    </row>
    <row r="78" spans="1:17" ht="15" customHeight="1" x14ac:dyDescent="0.25">
      <c r="A78" s="335">
        <v>70</v>
      </c>
      <c r="B78" s="336">
        <v>45579</v>
      </c>
      <c r="C78" s="43">
        <v>756800</v>
      </c>
      <c r="D78" s="44" t="s">
        <v>224</v>
      </c>
      <c r="E78" s="255">
        <v>135</v>
      </c>
      <c r="F78" s="255"/>
      <c r="G78" s="136">
        <f t="shared" si="4"/>
        <v>19693.989999999998</v>
      </c>
      <c r="H78" s="130" t="s">
        <v>246</v>
      </c>
      <c r="I78" s="328">
        <f t="shared" si="5"/>
        <v>135</v>
      </c>
      <c r="J78" s="329"/>
      <c r="K78" s="329"/>
      <c r="L78" s="333">
        <v>45601</v>
      </c>
    </row>
    <row r="79" spans="1:17" ht="15" customHeight="1" x14ac:dyDescent="0.25">
      <c r="A79" s="335">
        <v>71</v>
      </c>
      <c r="B79" s="336">
        <v>45579</v>
      </c>
      <c r="C79" s="43">
        <v>756800</v>
      </c>
      <c r="D79" s="44" t="s">
        <v>224</v>
      </c>
      <c r="E79" s="255">
        <v>337.5</v>
      </c>
      <c r="F79" s="255"/>
      <c r="G79" s="136">
        <f t="shared" si="4"/>
        <v>20031.489999999998</v>
      </c>
      <c r="H79" s="130" t="s">
        <v>246</v>
      </c>
      <c r="I79" s="328">
        <f t="shared" si="5"/>
        <v>337.5</v>
      </c>
      <c r="J79" s="329"/>
      <c r="K79" s="329"/>
      <c r="L79" s="333">
        <v>45601</v>
      </c>
    </row>
    <row r="80" spans="1:17" ht="15" customHeight="1" x14ac:dyDescent="0.25">
      <c r="A80" s="335">
        <v>72</v>
      </c>
      <c r="B80" s="336">
        <v>45579</v>
      </c>
      <c r="C80" s="43">
        <v>756800</v>
      </c>
      <c r="D80" s="44" t="s">
        <v>224</v>
      </c>
      <c r="E80" s="255">
        <v>135</v>
      </c>
      <c r="F80" s="255"/>
      <c r="G80" s="136">
        <f t="shared" si="4"/>
        <v>20166.489999999998</v>
      </c>
      <c r="H80" s="130" t="s">
        <v>246</v>
      </c>
      <c r="I80" s="328">
        <f t="shared" si="5"/>
        <v>135</v>
      </c>
      <c r="J80" s="329"/>
      <c r="K80" s="329"/>
      <c r="L80" s="333">
        <v>45601</v>
      </c>
    </row>
    <row r="81" spans="1:12" ht="15" customHeight="1" x14ac:dyDescent="0.25">
      <c r="A81" s="335">
        <v>73</v>
      </c>
      <c r="B81" s="336">
        <v>45580</v>
      </c>
      <c r="C81" s="43">
        <v>756800</v>
      </c>
      <c r="D81" s="44" t="s">
        <v>224</v>
      </c>
      <c r="E81" s="255">
        <v>135</v>
      </c>
      <c r="F81" s="255"/>
      <c r="G81" s="136">
        <f t="shared" si="4"/>
        <v>20301.489999999998</v>
      </c>
      <c r="H81" s="130" t="s">
        <v>246</v>
      </c>
      <c r="I81" s="328">
        <f t="shared" si="5"/>
        <v>135</v>
      </c>
      <c r="J81" s="329"/>
      <c r="K81" s="329"/>
      <c r="L81" s="333">
        <v>45601</v>
      </c>
    </row>
    <row r="82" spans="1:12" ht="15" customHeight="1" x14ac:dyDescent="0.25">
      <c r="A82" s="335">
        <v>74</v>
      </c>
      <c r="B82" s="336">
        <v>45581</v>
      </c>
      <c r="C82" s="43">
        <v>756800</v>
      </c>
      <c r="D82" s="44" t="s">
        <v>224</v>
      </c>
      <c r="E82" s="255">
        <v>202.5</v>
      </c>
      <c r="F82" s="255"/>
      <c r="G82" s="136">
        <f t="shared" ref="G82:G113" si="6">+G81+E82-F82</f>
        <v>20503.989999999998</v>
      </c>
      <c r="H82" s="130" t="s">
        <v>246</v>
      </c>
      <c r="I82" s="328">
        <f t="shared" si="5"/>
        <v>202.5</v>
      </c>
      <c r="J82" s="329"/>
      <c r="K82" s="329"/>
      <c r="L82" s="333">
        <v>45601</v>
      </c>
    </row>
    <row r="83" spans="1:12" ht="15" customHeight="1" x14ac:dyDescent="0.25">
      <c r="A83" s="335">
        <v>75</v>
      </c>
      <c r="B83" s="336">
        <v>45582</v>
      </c>
      <c r="C83" s="43">
        <v>756800</v>
      </c>
      <c r="D83" s="44" t="s">
        <v>224</v>
      </c>
      <c r="E83" s="255">
        <v>337.5</v>
      </c>
      <c r="F83" s="255"/>
      <c r="G83" s="136">
        <f t="shared" si="6"/>
        <v>20841.489999999998</v>
      </c>
      <c r="H83" s="130" t="s">
        <v>246</v>
      </c>
      <c r="I83" s="328">
        <f t="shared" si="5"/>
        <v>337.5</v>
      </c>
      <c r="J83" s="329"/>
      <c r="K83" s="329"/>
      <c r="L83" s="333">
        <v>45601</v>
      </c>
    </row>
    <row r="84" spans="1:12" ht="15" customHeight="1" x14ac:dyDescent="0.25">
      <c r="A84" s="335">
        <v>76</v>
      </c>
      <c r="B84" s="336">
        <v>45583</v>
      </c>
      <c r="C84" s="43">
        <v>756800</v>
      </c>
      <c r="D84" s="44" t="s">
        <v>224</v>
      </c>
      <c r="E84" s="255">
        <v>405</v>
      </c>
      <c r="F84" s="255"/>
      <c r="G84" s="136">
        <f t="shared" si="6"/>
        <v>21246.489999999998</v>
      </c>
      <c r="H84" s="130" t="s">
        <v>246</v>
      </c>
      <c r="I84" s="328">
        <f t="shared" si="5"/>
        <v>405</v>
      </c>
      <c r="J84" s="329"/>
      <c r="K84" s="329"/>
      <c r="L84" s="333">
        <v>45601</v>
      </c>
    </row>
    <row r="85" spans="1:12" ht="15" customHeight="1" x14ac:dyDescent="0.25">
      <c r="A85" s="335">
        <v>77</v>
      </c>
      <c r="B85" s="336">
        <v>45583</v>
      </c>
      <c r="C85" s="43">
        <v>607200</v>
      </c>
      <c r="D85" s="44" t="s">
        <v>391</v>
      </c>
      <c r="E85" s="255"/>
      <c r="F85" s="255">
        <v>8.1300000000000008</v>
      </c>
      <c r="G85" s="136">
        <f t="shared" si="6"/>
        <v>21238.359999999997</v>
      </c>
      <c r="H85" s="130" t="s">
        <v>246</v>
      </c>
      <c r="I85" s="328">
        <f t="shared" si="5"/>
        <v>-8.1300000000000008</v>
      </c>
      <c r="J85" s="329"/>
      <c r="K85" s="329"/>
      <c r="L85" s="333">
        <v>45601</v>
      </c>
    </row>
    <row r="86" spans="1:12" ht="15" customHeight="1" x14ac:dyDescent="0.25">
      <c r="A86" s="335">
        <v>78</v>
      </c>
      <c r="B86" s="336">
        <v>45583</v>
      </c>
      <c r="C86" s="43" t="s">
        <v>229</v>
      </c>
      <c r="D86" s="44" t="s">
        <v>251</v>
      </c>
      <c r="E86" s="255"/>
      <c r="F86" s="255"/>
      <c r="G86" s="136">
        <f t="shared" si="6"/>
        <v>21238.359999999997</v>
      </c>
      <c r="H86" s="130" t="s">
        <v>246</v>
      </c>
      <c r="I86" s="328">
        <v>-5400</v>
      </c>
      <c r="J86" s="329">
        <v>5400</v>
      </c>
      <c r="K86" s="329"/>
      <c r="L86" s="333">
        <v>45601</v>
      </c>
    </row>
    <row r="87" spans="1:12" ht="15" customHeight="1" x14ac:dyDescent="0.25">
      <c r="A87" s="335">
        <v>79</v>
      </c>
      <c r="B87" s="336">
        <v>45586</v>
      </c>
      <c r="C87" s="43">
        <v>756800</v>
      </c>
      <c r="D87" s="44" t="s">
        <v>224</v>
      </c>
      <c r="E87" s="255">
        <v>472.5</v>
      </c>
      <c r="F87" s="255"/>
      <c r="G87" s="136">
        <f t="shared" si="6"/>
        <v>21710.859999999997</v>
      </c>
      <c r="H87" s="130" t="s">
        <v>246</v>
      </c>
      <c r="I87" s="328">
        <f t="shared" si="5"/>
        <v>472.5</v>
      </c>
      <c r="J87" s="329"/>
      <c r="K87" s="329"/>
      <c r="L87" s="333">
        <v>45601</v>
      </c>
    </row>
    <row r="88" spans="1:12" ht="15" customHeight="1" x14ac:dyDescent="0.25">
      <c r="A88" s="335">
        <v>80</v>
      </c>
      <c r="B88" s="336">
        <v>45586</v>
      </c>
      <c r="C88" s="43">
        <v>756800</v>
      </c>
      <c r="D88" s="44" t="s">
        <v>224</v>
      </c>
      <c r="E88" s="255">
        <v>67.5</v>
      </c>
      <c r="F88" s="255"/>
      <c r="G88" s="136">
        <f t="shared" si="6"/>
        <v>21778.359999999997</v>
      </c>
      <c r="H88" s="130" t="s">
        <v>246</v>
      </c>
      <c r="I88" s="328">
        <f t="shared" si="5"/>
        <v>67.5</v>
      </c>
      <c r="J88" s="329"/>
      <c r="K88" s="329"/>
      <c r="L88" s="333">
        <v>45601</v>
      </c>
    </row>
    <row r="89" spans="1:12" ht="15" customHeight="1" x14ac:dyDescent="0.25">
      <c r="A89" s="335">
        <v>81</v>
      </c>
      <c r="B89" s="336">
        <v>45586</v>
      </c>
      <c r="C89" s="43">
        <v>756800</v>
      </c>
      <c r="D89" s="44" t="s">
        <v>224</v>
      </c>
      <c r="E89" s="255">
        <v>202.5</v>
      </c>
      <c r="F89" s="255"/>
      <c r="G89" s="136">
        <f t="shared" si="6"/>
        <v>21980.859999999997</v>
      </c>
      <c r="H89" s="130" t="s">
        <v>246</v>
      </c>
      <c r="I89" s="328">
        <f t="shared" si="5"/>
        <v>202.5</v>
      </c>
      <c r="J89" s="329"/>
      <c r="K89" s="329"/>
      <c r="L89" s="333">
        <v>45601</v>
      </c>
    </row>
    <row r="90" spans="1:12" ht="15" customHeight="1" x14ac:dyDescent="0.25">
      <c r="A90" s="335">
        <v>82</v>
      </c>
      <c r="B90" s="336">
        <v>45587</v>
      </c>
      <c r="C90" s="43">
        <v>756800</v>
      </c>
      <c r="D90" s="44" t="s">
        <v>224</v>
      </c>
      <c r="E90" s="255">
        <v>67.5</v>
      </c>
      <c r="F90" s="255"/>
      <c r="G90" s="136">
        <f t="shared" si="6"/>
        <v>22048.359999999997</v>
      </c>
      <c r="H90" s="130" t="s">
        <v>246</v>
      </c>
      <c r="I90" s="328">
        <f t="shared" si="5"/>
        <v>67.5</v>
      </c>
      <c r="J90" s="329"/>
      <c r="K90" s="329"/>
      <c r="L90" s="333">
        <v>45601</v>
      </c>
    </row>
    <row r="91" spans="1:12" ht="15" customHeight="1" x14ac:dyDescent="0.25">
      <c r="A91" s="335">
        <v>83</v>
      </c>
      <c r="B91" s="336">
        <v>45588</v>
      </c>
      <c r="C91" s="43">
        <v>756800</v>
      </c>
      <c r="D91" s="44" t="s">
        <v>224</v>
      </c>
      <c r="E91" s="255">
        <v>67.5</v>
      </c>
      <c r="F91" s="255"/>
      <c r="G91" s="136">
        <f t="shared" si="6"/>
        <v>22115.859999999997</v>
      </c>
      <c r="H91" s="130" t="s">
        <v>246</v>
      </c>
      <c r="I91" s="328">
        <f t="shared" si="5"/>
        <v>67.5</v>
      </c>
      <c r="J91" s="329"/>
      <c r="K91" s="329"/>
      <c r="L91" s="333">
        <v>45601</v>
      </c>
    </row>
    <row r="92" spans="1:12" ht="15" customHeight="1" x14ac:dyDescent="0.25">
      <c r="A92" s="335">
        <v>84</v>
      </c>
      <c r="B92" s="336">
        <v>45589</v>
      </c>
      <c r="C92" s="43">
        <v>756800</v>
      </c>
      <c r="D92" s="44" t="s">
        <v>224</v>
      </c>
      <c r="E92" s="255">
        <v>202.5</v>
      </c>
      <c r="F92" s="255"/>
      <c r="G92" s="136">
        <f t="shared" si="6"/>
        <v>22318.359999999997</v>
      </c>
      <c r="H92" s="130" t="s">
        <v>246</v>
      </c>
      <c r="I92" s="328">
        <f t="shared" si="5"/>
        <v>202.5</v>
      </c>
      <c r="J92" s="329"/>
      <c r="K92" s="329"/>
      <c r="L92" s="333">
        <v>45601</v>
      </c>
    </row>
    <row r="93" spans="1:12" ht="15" customHeight="1" x14ac:dyDescent="0.25">
      <c r="A93" s="335">
        <v>85</v>
      </c>
      <c r="B93" s="336">
        <v>45592</v>
      </c>
      <c r="C93" s="43">
        <v>605100</v>
      </c>
      <c r="D93" s="44" t="s">
        <v>255</v>
      </c>
      <c r="E93" s="255"/>
      <c r="F93" s="255">
        <v>342.95</v>
      </c>
      <c r="G93" s="136">
        <f t="shared" si="6"/>
        <v>21975.409999999996</v>
      </c>
      <c r="H93" s="130" t="s">
        <v>246</v>
      </c>
      <c r="I93" s="328">
        <f t="shared" si="5"/>
        <v>-342.95</v>
      </c>
      <c r="J93" s="329"/>
      <c r="K93" s="329"/>
      <c r="L93" s="333">
        <v>45601</v>
      </c>
    </row>
    <row r="94" spans="1:12" ht="15" customHeight="1" x14ac:dyDescent="0.25">
      <c r="A94" s="335">
        <v>86</v>
      </c>
      <c r="B94" s="336">
        <v>45593</v>
      </c>
      <c r="C94" s="43">
        <v>756800</v>
      </c>
      <c r="D94" s="44" t="s">
        <v>224</v>
      </c>
      <c r="E94" s="255">
        <v>67.5</v>
      </c>
      <c r="F94" s="255"/>
      <c r="G94" s="136">
        <f t="shared" si="6"/>
        <v>22042.909999999996</v>
      </c>
      <c r="H94" s="130" t="s">
        <v>246</v>
      </c>
      <c r="I94" s="328">
        <f t="shared" si="5"/>
        <v>67.5</v>
      </c>
      <c r="J94" s="329"/>
      <c r="K94" s="329"/>
      <c r="L94" s="333">
        <v>45601</v>
      </c>
    </row>
    <row r="95" spans="1:12" ht="15" customHeight="1" x14ac:dyDescent="0.25">
      <c r="A95" s="335">
        <v>87</v>
      </c>
      <c r="B95" s="336">
        <v>45593</v>
      </c>
      <c r="C95" s="43">
        <v>756800</v>
      </c>
      <c r="D95" s="44" t="s">
        <v>224</v>
      </c>
      <c r="E95" s="255">
        <v>67.5</v>
      </c>
      <c r="F95" s="255"/>
      <c r="G95" s="136">
        <f t="shared" si="6"/>
        <v>22110.409999999996</v>
      </c>
      <c r="H95" s="130" t="s">
        <v>246</v>
      </c>
      <c r="I95" s="328">
        <f t="shared" si="5"/>
        <v>67.5</v>
      </c>
      <c r="J95" s="329"/>
      <c r="K95" s="329"/>
      <c r="L95" s="333">
        <v>45601</v>
      </c>
    </row>
    <row r="96" spans="1:12" ht="15" customHeight="1" x14ac:dyDescent="0.25">
      <c r="A96" s="335">
        <v>88</v>
      </c>
      <c r="B96" s="336">
        <v>45593</v>
      </c>
      <c r="C96" s="43">
        <v>756800</v>
      </c>
      <c r="D96" s="44" t="s">
        <v>224</v>
      </c>
      <c r="E96" s="255">
        <v>67.5</v>
      </c>
      <c r="F96" s="255"/>
      <c r="G96" s="136">
        <f t="shared" si="6"/>
        <v>22177.909999999996</v>
      </c>
      <c r="H96" s="130" t="s">
        <v>246</v>
      </c>
      <c r="I96" s="328">
        <f t="shared" si="5"/>
        <v>67.5</v>
      </c>
      <c r="J96" s="329"/>
      <c r="K96" s="329"/>
      <c r="L96" s="333">
        <v>45601</v>
      </c>
    </row>
    <row r="97" spans="1:17" ht="15" customHeight="1" x14ac:dyDescent="0.25">
      <c r="A97" s="335">
        <v>89</v>
      </c>
      <c r="B97" s="336">
        <v>45593</v>
      </c>
      <c r="C97" s="43">
        <v>626200</v>
      </c>
      <c r="D97" s="44" t="s">
        <v>233</v>
      </c>
      <c r="E97" s="255"/>
      <c r="F97" s="255">
        <v>5.99</v>
      </c>
      <c r="G97" s="136">
        <f t="shared" si="6"/>
        <v>22171.919999999995</v>
      </c>
      <c r="H97" s="130" t="s">
        <v>246</v>
      </c>
      <c r="I97" s="328">
        <f t="shared" si="5"/>
        <v>-5.99</v>
      </c>
      <c r="J97" s="329"/>
      <c r="K97" s="329"/>
      <c r="L97" s="333">
        <v>45601</v>
      </c>
    </row>
    <row r="98" spans="1:17" ht="15" customHeight="1" x14ac:dyDescent="0.25">
      <c r="A98" s="335">
        <v>90</v>
      </c>
      <c r="B98" s="336">
        <v>45593</v>
      </c>
      <c r="C98" s="43">
        <v>605100</v>
      </c>
      <c r="D98" s="44" t="s">
        <v>256</v>
      </c>
      <c r="E98" s="255"/>
      <c r="F98" s="255">
        <v>193.49</v>
      </c>
      <c r="G98" s="136">
        <f t="shared" si="6"/>
        <v>21978.429999999993</v>
      </c>
      <c r="H98" s="130" t="s">
        <v>246</v>
      </c>
      <c r="I98" s="328">
        <f t="shared" si="5"/>
        <v>-193.49</v>
      </c>
      <c r="J98" s="329"/>
      <c r="K98" s="329"/>
      <c r="L98" s="333">
        <v>45601</v>
      </c>
    </row>
    <row r="99" spans="1:17" ht="15" customHeight="1" x14ac:dyDescent="0.25">
      <c r="A99" s="335">
        <v>91</v>
      </c>
      <c r="B99" s="336">
        <v>45594</v>
      </c>
      <c r="C99" s="43">
        <v>756800</v>
      </c>
      <c r="D99" s="44" t="s">
        <v>224</v>
      </c>
      <c r="E99" s="255">
        <v>67.5</v>
      </c>
      <c r="F99" s="255"/>
      <c r="G99" s="136">
        <f t="shared" si="6"/>
        <v>22045.929999999993</v>
      </c>
      <c r="H99" s="130" t="s">
        <v>246</v>
      </c>
      <c r="I99" s="328">
        <f t="shared" si="5"/>
        <v>67.5</v>
      </c>
      <c r="J99" s="329"/>
      <c r="K99" s="329"/>
      <c r="L99" s="333">
        <v>45601</v>
      </c>
    </row>
    <row r="100" spans="1:17" ht="15" customHeight="1" x14ac:dyDescent="0.25">
      <c r="A100" s="335">
        <v>92</v>
      </c>
      <c r="B100" s="336">
        <v>45595</v>
      </c>
      <c r="C100" s="43">
        <v>756800</v>
      </c>
      <c r="D100" s="44" t="s">
        <v>224</v>
      </c>
      <c r="E100" s="255">
        <v>202.5</v>
      </c>
      <c r="F100" s="255"/>
      <c r="G100" s="136">
        <f t="shared" si="6"/>
        <v>22248.429999999993</v>
      </c>
      <c r="H100" s="130" t="s">
        <v>246</v>
      </c>
      <c r="I100" s="328">
        <f t="shared" si="5"/>
        <v>202.5</v>
      </c>
      <c r="J100" s="329"/>
      <c r="K100" s="329"/>
      <c r="L100" s="333">
        <v>45601</v>
      </c>
    </row>
    <row r="101" spans="1:17" ht="15" customHeight="1" x14ac:dyDescent="0.25">
      <c r="A101" s="335">
        <v>93</v>
      </c>
      <c r="B101" s="336">
        <v>45596</v>
      </c>
      <c r="C101" s="43">
        <v>756800</v>
      </c>
      <c r="D101" s="44" t="s">
        <v>224</v>
      </c>
      <c r="E101" s="255">
        <v>135</v>
      </c>
      <c r="F101" s="255"/>
      <c r="G101" s="136">
        <f t="shared" si="6"/>
        <v>22383.429999999993</v>
      </c>
      <c r="H101" s="130" t="s">
        <v>246</v>
      </c>
      <c r="I101" s="328">
        <f t="shared" si="5"/>
        <v>135</v>
      </c>
      <c r="J101" s="329"/>
      <c r="K101" s="329"/>
      <c r="L101" s="333">
        <v>45601</v>
      </c>
    </row>
    <row r="102" spans="1:17" ht="15" customHeight="1" x14ac:dyDescent="0.25">
      <c r="A102" s="335">
        <v>94</v>
      </c>
      <c r="B102" s="336">
        <v>45596</v>
      </c>
      <c r="C102" s="43">
        <v>641200</v>
      </c>
      <c r="D102" s="44" t="s">
        <v>257</v>
      </c>
      <c r="E102" s="255"/>
      <c r="F102" s="255">
        <v>527.86</v>
      </c>
      <c r="G102" s="136">
        <f t="shared" si="6"/>
        <v>21855.569999999992</v>
      </c>
      <c r="H102" s="130" t="s">
        <v>246</v>
      </c>
      <c r="I102" s="328">
        <f t="shared" si="5"/>
        <v>-527.86</v>
      </c>
      <c r="J102" s="329"/>
      <c r="K102" s="329"/>
      <c r="L102" s="333">
        <v>45601</v>
      </c>
    </row>
    <row r="103" spans="1:17" ht="15" customHeight="1" x14ac:dyDescent="0.25">
      <c r="A103" s="335">
        <v>95</v>
      </c>
      <c r="B103" s="336">
        <v>45596</v>
      </c>
      <c r="C103" s="43">
        <v>641200</v>
      </c>
      <c r="D103" s="44" t="s">
        <v>258</v>
      </c>
      <c r="E103" s="255"/>
      <c r="F103" s="255">
        <v>347.95</v>
      </c>
      <c r="G103" s="136">
        <f t="shared" si="6"/>
        <v>21507.619999999992</v>
      </c>
      <c r="H103" s="130" t="s">
        <v>246</v>
      </c>
      <c r="I103" s="328">
        <f t="shared" si="5"/>
        <v>-347.95</v>
      </c>
      <c r="J103" s="329"/>
      <c r="K103" s="329"/>
      <c r="L103" s="333">
        <v>45601</v>
      </c>
    </row>
    <row r="104" spans="1:17" ht="15" customHeight="1" x14ac:dyDescent="0.25">
      <c r="A104" s="335">
        <v>96</v>
      </c>
      <c r="B104" s="336">
        <v>45596</v>
      </c>
      <c r="C104" s="43">
        <v>641200</v>
      </c>
      <c r="D104" s="44" t="s">
        <v>259</v>
      </c>
      <c r="E104" s="255"/>
      <c r="F104" s="255">
        <v>174.58</v>
      </c>
      <c r="G104" s="136">
        <f t="shared" si="6"/>
        <v>21333.03999999999</v>
      </c>
      <c r="H104" s="130" t="s">
        <v>246</v>
      </c>
      <c r="I104" s="328">
        <f t="shared" si="5"/>
        <v>-174.58</v>
      </c>
      <c r="J104" s="329"/>
      <c r="K104" s="329"/>
      <c r="L104" s="333">
        <v>45601</v>
      </c>
    </row>
    <row r="105" spans="1:17" ht="15" customHeight="1" x14ac:dyDescent="0.25">
      <c r="A105" s="335">
        <v>97</v>
      </c>
      <c r="B105" s="336">
        <v>45596</v>
      </c>
      <c r="C105" s="43">
        <v>641200</v>
      </c>
      <c r="D105" s="44" t="s">
        <v>260</v>
      </c>
      <c r="E105" s="255"/>
      <c r="F105" s="255">
        <v>504.06</v>
      </c>
      <c r="G105" s="136">
        <f t="shared" si="6"/>
        <v>20828.979999999989</v>
      </c>
      <c r="H105" s="130" t="s">
        <v>246</v>
      </c>
      <c r="I105" s="328">
        <f t="shared" si="5"/>
        <v>-504.06</v>
      </c>
      <c r="J105" s="329"/>
      <c r="K105" s="329"/>
      <c r="L105" s="333">
        <v>45601</v>
      </c>
    </row>
    <row r="106" spans="1:17" ht="15" customHeight="1" x14ac:dyDescent="0.25">
      <c r="A106" s="335">
        <v>98</v>
      </c>
      <c r="B106" s="336">
        <v>45596</v>
      </c>
      <c r="C106" s="43">
        <v>641200</v>
      </c>
      <c r="D106" s="44" t="s">
        <v>261</v>
      </c>
      <c r="E106" s="255"/>
      <c r="F106" s="255">
        <v>422.06</v>
      </c>
      <c r="G106" s="136">
        <f t="shared" si="6"/>
        <v>20406.919999999987</v>
      </c>
      <c r="H106" s="130" t="s">
        <v>246</v>
      </c>
      <c r="I106" s="328">
        <f t="shared" si="5"/>
        <v>-422.06</v>
      </c>
      <c r="J106" s="329"/>
      <c r="K106" s="329"/>
      <c r="L106" s="333">
        <v>45601</v>
      </c>
    </row>
    <row r="107" spans="1:17" ht="15" customHeight="1" x14ac:dyDescent="0.25">
      <c r="A107" s="335">
        <v>99</v>
      </c>
      <c r="B107" s="336">
        <v>45596</v>
      </c>
      <c r="C107" s="43">
        <v>645800</v>
      </c>
      <c r="D107" s="44" t="s">
        <v>262</v>
      </c>
      <c r="E107" s="255"/>
      <c r="F107" s="255">
        <v>836.79</v>
      </c>
      <c r="G107" s="136">
        <f t="shared" si="6"/>
        <v>19570.129999999986</v>
      </c>
      <c r="H107" s="130" t="s">
        <v>246</v>
      </c>
      <c r="I107" s="328">
        <f t="shared" si="5"/>
        <v>-836.79</v>
      </c>
      <c r="J107" s="329"/>
      <c r="K107" s="329"/>
      <c r="L107" s="333">
        <v>45601</v>
      </c>
    </row>
    <row r="108" spans="1:17" ht="15" customHeight="1" x14ac:dyDescent="0.25">
      <c r="A108" s="335">
        <v>100</v>
      </c>
      <c r="B108" s="336">
        <v>45596</v>
      </c>
      <c r="C108" s="43">
        <v>645700</v>
      </c>
      <c r="D108" s="44" t="s">
        <v>263</v>
      </c>
      <c r="E108" s="255"/>
      <c r="F108" s="255">
        <v>71.400000000000006</v>
      </c>
      <c r="G108" s="136">
        <f t="shared" si="6"/>
        <v>19498.729999999985</v>
      </c>
      <c r="H108" s="130" t="s">
        <v>246</v>
      </c>
      <c r="I108" s="328">
        <f t="shared" si="5"/>
        <v>-71.400000000000006</v>
      </c>
      <c r="J108" s="329"/>
      <c r="K108" s="329"/>
      <c r="L108" s="333">
        <v>45601</v>
      </c>
    </row>
    <row r="109" spans="1:17" ht="15" customHeight="1" x14ac:dyDescent="0.25">
      <c r="A109" s="335">
        <v>101</v>
      </c>
      <c r="B109" s="336">
        <v>45596</v>
      </c>
      <c r="C109" s="43">
        <v>622610</v>
      </c>
      <c r="D109" s="44" t="s">
        <v>264</v>
      </c>
      <c r="E109" s="255"/>
      <c r="F109" s="255">
        <v>105</v>
      </c>
      <c r="G109" s="136">
        <f t="shared" si="6"/>
        <v>19393.729999999985</v>
      </c>
      <c r="H109" s="130" t="s">
        <v>246</v>
      </c>
      <c r="I109" s="328">
        <f t="shared" si="5"/>
        <v>-105</v>
      </c>
      <c r="J109" s="329"/>
      <c r="K109" s="329"/>
      <c r="L109" s="333">
        <v>45601</v>
      </c>
    </row>
    <row r="110" spans="1:17" ht="15" customHeight="1" x14ac:dyDescent="0.25">
      <c r="A110" s="335">
        <v>102</v>
      </c>
      <c r="B110" s="336">
        <v>45596</v>
      </c>
      <c r="C110" s="43">
        <v>622640</v>
      </c>
      <c r="D110" s="44" t="s">
        <v>413</v>
      </c>
      <c r="E110" s="255"/>
      <c r="F110" s="255">
        <v>400</v>
      </c>
      <c r="G110" s="136">
        <f t="shared" si="6"/>
        <v>18993.729999999985</v>
      </c>
      <c r="H110" s="130" t="s">
        <v>246</v>
      </c>
      <c r="I110" s="328">
        <f t="shared" si="5"/>
        <v>-400</v>
      </c>
      <c r="J110" s="329"/>
      <c r="K110" s="329"/>
      <c r="L110" s="333">
        <v>45601</v>
      </c>
      <c r="N110" s="323"/>
      <c r="O110" s="337"/>
      <c r="P110" s="323"/>
      <c r="Q110" s="337"/>
    </row>
    <row r="111" spans="1:17" ht="15" customHeight="1" x14ac:dyDescent="0.25">
      <c r="A111" s="335">
        <v>103</v>
      </c>
      <c r="B111" s="336">
        <v>45596</v>
      </c>
      <c r="C111" s="43">
        <v>605100</v>
      </c>
      <c r="D111" s="44" t="s">
        <v>265</v>
      </c>
      <c r="E111" s="255"/>
      <c r="F111" s="255">
        <v>10</v>
      </c>
      <c r="G111" s="136">
        <f t="shared" si="6"/>
        <v>18983.729999999985</v>
      </c>
      <c r="H111" s="130" t="s">
        <v>246</v>
      </c>
      <c r="I111" s="328">
        <f t="shared" si="5"/>
        <v>-10</v>
      </c>
      <c r="J111" s="329"/>
      <c r="K111" s="329"/>
      <c r="L111" s="333">
        <v>45601</v>
      </c>
      <c r="N111" s="323"/>
      <c r="O111" s="337"/>
      <c r="P111" s="323"/>
      <c r="Q111" s="337"/>
    </row>
    <row r="112" spans="1:17" ht="15" customHeight="1" x14ac:dyDescent="0.25">
      <c r="A112" s="335">
        <v>104</v>
      </c>
      <c r="B112" s="336">
        <v>45597</v>
      </c>
      <c r="C112" s="43">
        <v>756800</v>
      </c>
      <c r="D112" s="44" t="s">
        <v>224</v>
      </c>
      <c r="E112" s="255">
        <v>67.5</v>
      </c>
      <c r="F112" s="255"/>
      <c r="G112" s="136">
        <f t="shared" si="6"/>
        <v>19051.229999999985</v>
      </c>
      <c r="H112" s="130" t="s">
        <v>246</v>
      </c>
      <c r="I112" s="328">
        <f t="shared" si="5"/>
        <v>67.5</v>
      </c>
      <c r="J112" s="329"/>
      <c r="K112" s="329"/>
      <c r="L112" s="333">
        <v>45601</v>
      </c>
      <c r="N112" s="323"/>
      <c r="O112" s="337"/>
      <c r="P112" s="323"/>
      <c r="Q112" s="337"/>
    </row>
    <row r="113" spans="1:17" ht="15" customHeight="1" x14ac:dyDescent="0.25">
      <c r="A113" s="335">
        <v>105</v>
      </c>
      <c r="B113" s="336">
        <v>45598</v>
      </c>
      <c r="C113" s="43">
        <v>652100</v>
      </c>
      <c r="D113" s="44" t="s">
        <v>231</v>
      </c>
      <c r="E113" s="255"/>
      <c r="F113" s="255">
        <v>354</v>
      </c>
      <c r="G113" s="136">
        <f t="shared" si="6"/>
        <v>18697.229999999985</v>
      </c>
      <c r="H113" s="130" t="s">
        <v>246</v>
      </c>
      <c r="I113" s="328">
        <f t="shared" si="5"/>
        <v>-354</v>
      </c>
      <c r="J113" s="329"/>
      <c r="K113" s="329"/>
      <c r="L113" s="333">
        <v>45601</v>
      </c>
      <c r="N113" s="323"/>
      <c r="O113" s="337"/>
      <c r="P113" s="323"/>
      <c r="Q113" s="337"/>
    </row>
    <row r="114" spans="1:17" ht="15" customHeight="1" x14ac:dyDescent="0.25">
      <c r="A114" s="335">
        <v>106</v>
      </c>
      <c r="B114" s="336">
        <v>45600</v>
      </c>
      <c r="C114" s="43">
        <v>756800</v>
      </c>
      <c r="D114" s="44" t="s">
        <v>244</v>
      </c>
      <c r="E114" s="255">
        <v>135</v>
      </c>
      <c r="F114" s="255"/>
      <c r="G114" s="136">
        <f t="shared" ref="G114:G132" si="7">+G113+E114-F114</f>
        <v>18832.229999999985</v>
      </c>
      <c r="H114" s="130" t="s">
        <v>246</v>
      </c>
      <c r="I114" s="328">
        <f t="shared" si="5"/>
        <v>135</v>
      </c>
      <c r="J114" s="329"/>
      <c r="K114" s="329"/>
      <c r="L114" s="333">
        <v>45601</v>
      </c>
      <c r="N114" s="323"/>
      <c r="O114" s="337"/>
      <c r="P114" s="323"/>
      <c r="Q114" s="337"/>
    </row>
    <row r="115" spans="1:17" ht="15" customHeight="1" x14ac:dyDescent="0.25">
      <c r="A115" s="335">
        <v>107</v>
      </c>
      <c r="B115" s="336">
        <v>45600</v>
      </c>
      <c r="C115" s="43" t="s">
        <v>229</v>
      </c>
      <c r="D115" s="44" t="s">
        <v>266</v>
      </c>
      <c r="E115" s="255"/>
      <c r="F115" s="255"/>
      <c r="G115" s="136">
        <f t="shared" si="7"/>
        <v>18832.229999999985</v>
      </c>
      <c r="H115" s="130" t="s">
        <v>246</v>
      </c>
      <c r="I115" s="328">
        <v>15</v>
      </c>
      <c r="J115" s="329"/>
      <c r="K115" s="329">
        <v>-15</v>
      </c>
      <c r="L115" s="333">
        <v>45601</v>
      </c>
      <c r="N115" s="327" t="s">
        <v>269</v>
      </c>
      <c r="O115" s="329">
        <v>3436.8</v>
      </c>
      <c r="P115" s="327" t="s">
        <v>271</v>
      </c>
      <c r="Q115" s="329">
        <v>35896.33</v>
      </c>
    </row>
    <row r="116" spans="1:17" ht="15" customHeight="1" x14ac:dyDescent="0.25">
      <c r="A116" s="335">
        <v>108</v>
      </c>
      <c r="B116" s="336">
        <v>45600</v>
      </c>
      <c r="C116" s="173">
        <v>756800</v>
      </c>
      <c r="D116" s="175" t="s">
        <v>275</v>
      </c>
      <c r="E116" s="255">
        <v>1899.25</v>
      </c>
      <c r="F116" s="255"/>
      <c r="G116" s="136">
        <f t="shared" si="7"/>
        <v>20731.479999999985</v>
      </c>
      <c r="H116" s="130" t="s">
        <v>246</v>
      </c>
      <c r="I116" s="328">
        <f t="shared" si="5"/>
        <v>1899.25</v>
      </c>
      <c r="J116" s="329"/>
      <c r="K116" s="329"/>
      <c r="L116" s="333">
        <v>45601</v>
      </c>
      <c r="N116" s="327" t="s">
        <v>270</v>
      </c>
      <c r="O116" s="329">
        <f>SUM(I7:I117)</f>
        <v>3436.8000000000034</v>
      </c>
      <c r="P116" s="327" t="s">
        <v>270</v>
      </c>
      <c r="Q116" s="329">
        <f>SUM(J7:J117)</f>
        <v>35896.330000000009</v>
      </c>
    </row>
    <row r="117" spans="1:17" ht="15" customHeight="1" x14ac:dyDescent="0.25">
      <c r="A117" s="335">
        <v>109</v>
      </c>
      <c r="B117" s="336">
        <v>45601</v>
      </c>
      <c r="C117" s="43">
        <v>756800</v>
      </c>
      <c r="D117" s="44" t="s">
        <v>224</v>
      </c>
      <c r="E117" s="255">
        <v>202.5</v>
      </c>
      <c r="F117" s="255"/>
      <c r="G117" s="136">
        <f t="shared" si="7"/>
        <v>20933.979999999985</v>
      </c>
      <c r="H117" s="130" t="s">
        <v>246</v>
      </c>
      <c r="I117" s="328">
        <f t="shared" si="5"/>
        <v>202.5</v>
      </c>
      <c r="J117" s="329"/>
      <c r="K117" s="329"/>
      <c r="L117" s="333">
        <v>45601</v>
      </c>
      <c r="N117" s="327" t="s">
        <v>247</v>
      </c>
      <c r="O117" s="329">
        <f>O115-O116</f>
        <v>0</v>
      </c>
      <c r="P117" s="327" t="s">
        <v>247</v>
      </c>
      <c r="Q117" s="329">
        <f>Q115-Q116</f>
        <v>0</v>
      </c>
    </row>
    <row r="118" spans="1:17" ht="15" customHeight="1" x14ac:dyDescent="0.25">
      <c r="A118" s="335">
        <v>110</v>
      </c>
      <c r="B118" s="336">
        <v>45602</v>
      </c>
      <c r="C118" s="173">
        <v>768010</v>
      </c>
      <c r="D118" s="175" t="s">
        <v>268</v>
      </c>
      <c r="E118" s="255">
        <v>940.87</v>
      </c>
      <c r="F118" s="255"/>
      <c r="G118" s="136">
        <f t="shared" si="7"/>
        <v>21874.849999999984</v>
      </c>
      <c r="H118" s="130" t="s">
        <v>246</v>
      </c>
      <c r="I118" s="328">
        <f t="shared" si="5"/>
        <v>940.87</v>
      </c>
      <c r="J118" s="329"/>
      <c r="K118" s="329"/>
      <c r="L118" s="333">
        <v>45631</v>
      </c>
    </row>
    <row r="119" spans="1:17" ht="15" customHeight="1" x14ac:dyDescent="0.25">
      <c r="A119" s="335">
        <v>111</v>
      </c>
      <c r="B119" s="336">
        <v>45602</v>
      </c>
      <c r="C119" s="173">
        <v>768020</v>
      </c>
      <c r="D119" s="175" t="s">
        <v>267</v>
      </c>
      <c r="E119" s="255">
        <v>117</v>
      </c>
      <c r="F119" s="255"/>
      <c r="G119" s="136">
        <f t="shared" si="7"/>
        <v>21991.849999999984</v>
      </c>
      <c r="H119" s="130" t="s">
        <v>246</v>
      </c>
      <c r="I119" s="328">
        <f t="shared" si="5"/>
        <v>117</v>
      </c>
      <c r="J119" s="329"/>
      <c r="K119" s="329"/>
      <c r="L119" s="333">
        <v>45631</v>
      </c>
    </row>
    <row r="120" spans="1:17" ht="15" customHeight="1" x14ac:dyDescent="0.25">
      <c r="A120" s="335">
        <v>112</v>
      </c>
      <c r="B120" s="336">
        <v>45607</v>
      </c>
      <c r="C120" s="43">
        <v>627800</v>
      </c>
      <c r="D120" s="44" t="s">
        <v>272</v>
      </c>
      <c r="E120" s="255"/>
      <c r="F120" s="255">
        <v>6.75</v>
      </c>
      <c r="G120" s="136">
        <f t="shared" si="7"/>
        <v>21985.099999999984</v>
      </c>
      <c r="H120" s="130" t="s">
        <v>246</v>
      </c>
      <c r="I120" s="328">
        <f t="shared" si="5"/>
        <v>-6.75</v>
      </c>
      <c r="J120" s="329"/>
      <c r="K120" s="329"/>
      <c r="L120" s="333">
        <v>45631</v>
      </c>
    </row>
    <row r="121" spans="1:17" ht="15" customHeight="1" x14ac:dyDescent="0.25">
      <c r="A121" s="335">
        <v>113</v>
      </c>
      <c r="B121" s="336">
        <v>45607</v>
      </c>
      <c r="C121" s="43">
        <v>756800</v>
      </c>
      <c r="D121" s="44" t="s">
        <v>224</v>
      </c>
      <c r="E121" s="255">
        <v>67.5</v>
      </c>
      <c r="F121" s="255"/>
      <c r="G121" s="136">
        <f t="shared" si="7"/>
        <v>22052.599999999984</v>
      </c>
      <c r="H121" s="130" t="s">
        <v>246</v>
      </c>
      <c r="I121" s="328">
        <f t="shared" si="5"/>
        <v>67.5</v>
      </c>
      <c r="J121" s="329"/>
      <c r="K121" s="329"/>
      <c r="L121" s="333">
        <v>45631</v>
      </c>
    </row>
    <row r="122" spans="1:17" ht="15" customHeight="1" x14ac:dyDescent="0.25">
      <c r="A122" s="335">
        <v>114</v>
      </c>
      <c r="B122" s="336">
        <v>45618</v>
      </c>
      <c r="C122" s="43">
        <v>756800</v>
      </c>
      <c r="D122" s="44" t="s">
        <v>224</v>
      </c>
      <c r="E122" s="255">
        <v>67.5</v>
      </c>
      <c r="F122" s="255"/>
      <c r="G122" s="136">
        <f t="shared" si="7"/>
        <v>22120.099999999984</v>
      </c>
      <c r="H122" s="130" t="s">
        <v>246</v>
      </c>
      <c r="I122" s="328">
        <f t="shared" si="5"/>
        <v>67.5</v>
      </c>
      <c r="J122" s="329"/>
      <c r="K122" s="329"/>
      <c r="L122" s="333">
        <v>45631</v>
      </c>
    </row>
    <row r="123" spans="1:17" ht="15" customHeight="1" x14ac:dyDescent="0.25">
      <c r="A123" s="335">
        <v>115</v>
      </c>
      <c r="B123" s="336">
        <v>45618</v>
      </c>
      <c r="C123" s="43">
        <v>626200</v>
      </c>
      <c r="D123" s="44" t="s">
        <v>233</v>
      </c>
      <c r="E123" s="255"/>
      <c r="F123" s="255">
        <v>9.99</v>
      </c>
      <c r="G123" s="136">
        <f t="shared" si="7"/>
        <v>22110.109999999982</v>
      </c>
      <c r="H123" s="130" t="s">
        <v>246</v>
      </c>
      <c r="I123" s="328">
        <f t="shared" si="5"/>
        <v>-9.99</v>
      </c>
      <c r="J123" s="329"/>
      <c r="K123" s="329"/>
      <c r="L123" s="333">
        <v>45631</v>
      </c>
    </row>
    <row r="124" spans="1:17" ht="15" customHeight="1" x14ac:dyDescent="0.25">
      <c r="A124" s="335">
        <v>116</v>
      </c>
      <c r="B124" s="336">
        <v>45620</v>
      </c>
      <c r="C124" s="43">
        <v>641200</v>
      </c>
      <c r="D124" s="44" t="s">
        <v>273</v>
      </c>
      <c r="E124" s="255"/>
      <c r="F124" s="255">
        <v>280</v>
      </c>
      <c r="G124" s="136">
        <f t="shared" si="7"/>
        <v>21830.109999999982</v>
      </c>
      <c r="H124" s="130" t="s">
        <v>246</v>
      </c>
      <c r="I124" s="328">
        <f t="shared" si="5"/>
        <v>-280</v>
      </c>
      <c r="J124" s="329"/>
      <c r="K124" s="329"/>
      <c r="L124" s="333">
        <v>45631</v>
      </c>
    </row>
    <row r="125" spans="1:17" ht="15" customHeight="1" x14ac:dyDescent="0.25">
      <c r="A125" s="335">
        <v>117</v>
      </c>
      <c r="B125" s="336">
        <v>45622</v>
      </c>
      <c r="C125" s="173">
        <v>756800</v>
      </c>
      <c r="D125" s="175" t="s">
        <v>274</v>
      </c>
      <c r="E125" s="255">
        <v>5</v>
      </c>
      <c r="F125" s="255"/>
      <c r="G125" s="136">
        <f t="shared" si="7"/>
        <v>21835.109999999982</v>
      </c>
      <c r="H125" s="130" t="s">
        <v>246</v>
      </c>
      <c r="I125" s="328">
        <f t="shared" si="5"/>
        <v>5</v>
      </c>
      <c r="J125" s="329"/>
      <c r="K125" s="329"/>
      <c r="L125" s="333">
        <v>45631</v>
      </c>
    </row>
    <row r="126" spans="1:17" ht="15" customHeight="1" x14ac:dyDescent="0.25">
      <c r="A126" s="335">
        <v>118</v>
      </c>
      <c r="B126" s="336">
        <v>45624</v>
      </c>
      <c r="C126" s="43">
        <v>626200</v>
      </c>
      <c r="D126" s="44" t="s">
        <v>233</v>
      </c>
      <c r="E126" s="255"/>
      <c r="F126" s="255">
        <v>5.99</v>
      </c>
      <c r="G126" s="136">
        <f t="shared" si="7"/>
        <v>21829.119999999981</v>
      </c>
      <c r="H126" s="130" t="s">
        <v>246</v>
      </c>
      <c r="I126" s="328">
        <f t="shared" si="5"/>
        <v>-5.99</v>
      </c>
      <c r="J126" s="329"/>
      <c r="K126" s="329"/>
      <c r="L126" s="333">
        <v>45631</v>
      </c>
    </row>
    <row r="127" spans="1:17" ht="15" customHeight="1" x14ac:dyDescent="0.25">
      <c r="A127" s="335">
        <v>119</v>
      </c>
      <c r="B127" s="336">
        <v>45624</v>
      </c>
      <c r="C127" s="43">
        <v>622640</v>
      </c>
      <c r="D127" s="44" t="s">
        <v>405</v>
      </c>
      <c r="E127" s="255"/>
      <c r="F127" s="255">
        <v>240</v>
      </c>
      <c r="G127" s="136">
        <f t="shared" si="7"/>
        <v>21589.119999999981</v>
      </c>
      <c r="H127" s="130" t="s">
        <v>246</v>
      </c>
      <c r="I127" s="328">
        <f t="shared" si="5"/>
        <v>-240</v>
      </c>
      <c r="J127" s="329"/>
      <c r="K127" s="329"/>
      <c r="L127" s="333">
        <v>45631</v>
      </c>
    </row>
    <row r="128" spans="1:17" ht="15" customHeight="1" x14ac:dyDescent="0.25">
      <c r="A128" s="335">
        <v>120</v>
      </c>
      <c r="B128" s="336">
        <v>45626</v>
      </c>
      <c r="C128" s="43">
        <v>641200</v>
      </c>
      <c r="D128" s="44" t="s">
        <v>282</v>
      </c>
      <c r="E128" s="255"/>
      <c r="F128" s="255">
        <v>595.91999999999996</v>
      </c>
      <c r="G128" s="136">
        <f t="shared" si="7"/>
        <v>20993.199999999983</v>
      </c>
      <c r="H128" s="130" t="s">
        <v>246</v>
      </c>
      <c r="I128" s="328">
        <f t="shared" si="5"/>
        <v>-595.91999999999996</v>
      </c>
      <c r="J128" s="329"/>
      <c r="K128" s="329"/>
      <c r="L128" s="333">
        <v>45631</v>
      </c>
    </row>
    <row r="129" spans="1:17" ht="15" customHeight="1" x14ac:dyDescent="0.25">
      <c r="A129" s="335">
        <v>121</v>
      </c>
      <c r="B129" s="336">
        <v>45626</v>
      </c>
      <c r="C129" s="43">
        <v>641200</v>
      </c>
      <c r="D129" s="44" t="s">
        <v>283</v>
      </c>
      <c r="E129" s="255"/>
      <c r="F129" s="255">
        <v>22.57</v>
      </c>
      <c r="G129" s="136">
        <f t="shared" si="7"/>
        <v>20970.629999999983</v>
      </c>
      <c r="H129" s="130" t="s">
        <v>246</v>
      </c>
      <c r="I129" s="328">
        <f t="shared" si="5"/>
        <v>-22.57</v>
      </c>
      <c r="J129" s="329"/>
      <c r="K129" s="329"/>
      <c r="L129" s="333">
        <v>45631</v>
      </c>
    </row>
    <row r="130" spans="1:17" ht="15" customHeight="1" x14ac:dyDescent="0.25">
      <c r="A130" s="335">
        <v>122</v>
      </c>
      <c r="B130" s="336">
        <v>45626</v>
      </c>
      <c r="C130" s="43">
        <v>641200</v>
      </c>
      <c r="D130" s="44" t="s">
        <v>284</v>
      </c>
      <c r="E130" s="255"/>
      <c r="F130" s="255">
        <v>72.25</v>
      </c>
      <c r="G130" s="136">
        <f t="shared" si="7"/>
        <v>20898.379999999983</v>
      </c>
      <c r="H130" s="130" t="s">
        <v>246</v>
      </c>
      <c r="I130" s="328">
        <f t="shared" si="5"/>
        <v>-72.25</v>
      </c>
      <c r="J130" s="329"/>
      <c r="K130" s="329"/>
      <c r="L130" s="333">
        <v>45631</v>
      </c>
    </row>
    <row r="131" spans="1:17" ht="15" customHeight="1" x14ac:dyDescent="0.25">
      <c r="A131" s="335">
        <v>123</v>
      </c>
      <c r="B131" s="336">
        <v>45626</v>
      </c>
      <c r="C131" s="43">
        <v>641200</v>
      </c>
      <c r="D131" s="44" t="s">
        <v>285</v>
      </c>
      <c r="E131" s="255"/>
      <c r="F131" s="255">
        <v>504.06</v>
      </c>
      <c r="G131" s="136">
        <f t="shared" si="7"/>
        <v>20394.319999999982</v>
      </c>
      <c r="H131" s="130" t="s">
        <v>246</v>
      </c>
      <c r="I131" s="328">
        <f t="shared" si="5"/>
        <v>-504.06</v>
      </c>
      <c r="J131" s="329"/>
      <c r="K131" s="329"/>
      <c r="L131" s="333">
        <v>45631</v>
      </c>
    </row>
    <row r="132" spans="1:17" ht="15" customHeight="1" x14ac:dyDescent="0.25">
      <c r="A132" s="335">
        <v>124</v>
      </c>
      <c r="B132" s="336">
        <v>45626</v>
      </c>
      <c r="C132" s="43">
        <v>641200</v>
      </c>
      <c r="D132" s="44" t="s">
        <v>286</v>
      </c>
      <c r="E132" s="255"/>
      <c r="F132" s="255">
        <v>230.69</v>
      </c>
      <c r="G132" s="136">
        <f t="shared" si="7"/>
        <v>20163.629999999983</v>
      </c>
      <c r="H132" s="130" t="s">
        <v>246</v>
      </c>
      <c r="I132" s="328">
        <f t="shared" si="5"/>
        <v>-230.69</v>
      </c>
      <c r="J132" s="329"/>
      <c r="K132" s="329"/>
      <c r="L132" s="333">
        <v>45631</v>
      </c>
    </row>
    <row r="133" spans="1:17" ht="15" customHeight="1" x14ac:dyDescent="0.25">
      <c r="A133" s="335">
        <v>125</v>
      </c>
      <c r="B133" s="336">
        <v>45626</v>
      </c>
      <c r="C133" s="43">
        <v>645800</v>
      </c>
      <c r="D133" s="44" t="s">
        <v>287</v>
      </c>
      <c r="E133" s="255"/>
      <c r="F133" s="255">
        <v>650.35</v>
      </c>
      <c r="G133" s="136">
        <f t="shared" ref="G133" si="8">+G132+E133-F133</f>
        <v>19513.279999999984</v>
      </c>
      <c r="H133" s="130" t="s">
        <v>246</v>
      </c>
      <c r="I133" s="328">
        <f t="shared" si="5"/>
        <v>-650.35</v>
      </c>
      <c r="J133" s="329"/>
      <c r="K133" s="329"/>
      <c r="L133" s="333">
        <v>45631</v>
      </c>
    </row>
    <row r="134" spans="1:17" ht="15" customHeight="1" x14ac:dyDescent="0.25">
      <c r="A134" s="335">
        <v>126</v>
      </c>
      <c r="B134" s="336">
        <v>45626</v>
      </c>
      <c r="C134" s="43">
        <v>645700</v>
      </c>
      <c r="D134" s="44" t="s">
        <v>288</v>
      </c>
      <c r="E134" s="255"/>
      <c r="F134" s="255">
        <v>42.98</v>
      </c>
      <c r="G134" s="136">
        <f t="shared" ref="G134:G160" si="9">+G133+E134-F134</f>
        <v>19470.299999999985</v>
      </c>
      <c r="H134" s="130" t="s">
        <v>246</v>
      </c>
      <c r="I134" s="328">
        <f t="shared" si="5"/>
        <v>-42.98</v>
      </c>
      <c r="J134" s="329"/>
      <c r="K134" s="329"/>
      <c r="L134" s="333">
        <v>45631</v>
      </c>
    </row>
    <row r="135" spans="1:17" ht="15" customHeight="1" x14ac:dyDescent="0.25">
      <c r="A135" s="335">
        <v>127</v>
      </c>
      <c r="B135" s="336">
        <v>45626</v>
      </c>
      <c r="C135" s="43">
        <v>622610</v>
      </c>
      <c r="D135" s="44" t="s">
        <v>289</v>
      </c>
      <c r="E135" s="255"/>
      <c r="F135" s="255">
        <v>105</v>
      </c>
      <c r="G135" s="136">
        <f t="shared" si="9"/>
        <v>19365.299999999985</v>
      </c>
      <c r="H135" s="130" t="s">
        <v>246</v>
      </c>
      <c r="I135" s="328">
        <f t="shared" si="5"/>
        <v>-105</v>
      </c>
      <c r="J135" s="329"/>
      <c r="K135" s="329"/>
      <c r="L135" s="333">
        <v>45631</v>
      </c>
    </row>
    <row r="136" spans="1:17" ht="15" customHeight="1" x14ac:dyDescent="0.25">
      <c r="A136" s="335">
        <v>128</v>
      </c>
      <c r="B136" s="336">
        <v>45627</v>
      </c>
      <c r="C136" s="43">
        <v>622640</v>
      </c>
      <c r="D136" s="44" t="s">
        <v>277</v>
      </c>
      <c r="E136" s="255"/>
      <c r="F136" s="255">
        <v>52</v>
      </c>
      <c r="G136" s="136">
        <f t="shared" si="9"/>
        <v>19313.299999999985</v>
      </c>
      <c r="H136" s="130" t="s">
        <v>246</v>
      </c>
      <c r="I136" s="328">
        <f t="shared" si="5"/>
        <v>-52</v>
      </c>
      <c r="J136" s="329"/>
      <c r="K136" s="329"/>
      <c r="L136" s="333">
        <v>45631</v>
      </c>
    </row>
    <row r="137" spans="1:17" ht="15" customHeight="1" x14ac:dyDescent="0.25">
      <c r="A137" s="335">
        <v>129</v>
      </c>
      <c r="B137" s="336">
        <v>45628</v>
      </c>
      <c r="C137" s="173">
        <v>756800</v>
      </c>
      <c r="D137" s="175" t="s">
        <v>242</v>
      </c>
      <c r="E137" s="255">
        <v>599</v>
      </c>
      <c r="F137" s="255"/>
      <c r="G137" s="136">
        <f t="shared" ref="G137:G138" si="10">+G136+E137-F137</f>
        <v>19912.299999999985</v>
      </c>
      <c r="H137" s="130" t="s">
        <v>246</v>
      </c>
      <c r="I137" s="328">
        <f t="shared" ref="I137" si="11">E137-F137</f>
        <v>599</v>
      </c>
      <c r="J137" s="329"/>
      <c r="K137" s="329"/>
      <c r="L137" s="333">
        <v>45631</v>
      </c>
    </row>
    <row r="138" spans="1:17" ht="15" customHeight="1" x14ac:dyDescent="0.25">
      <c r="A138" s="335">
        <v>130</v>
      </c>
      <c r="B138" s="336">
        <v>45629</v>
      </c>
      <c r="C138" s="173">
        <v>756800</v>
      </c>
      <c r="D138" s="44" t="s">
        <v>276</v>
      </c>
      <c r="E138" s="255">
        <v>5</v>
      </c>
      <c r="F138" s="255"/>
      <c r="G138" s="136">
        <f t="shared" si="10"/>
        <v>19917.299999999985</v>
      </c>
      <c r="H138" s="130"/>
      <c r="I138" s="328">
        <v>0</v>
      </c>
      <c r="J138" s="329"/>
      <c r="K138" s="329">
        <v>5</v>
      </c>
      <c r="L138" s="333"/>
      <c r="N138" s="327" t="s">
        <v>279</v>
      </c>
      <c r="O138" s="329">
        <v>2402.62</v>
      </c>
      <c r="P138" s="327" t="s">
        <v>281</v>
      </c>
      <c r="Q138" s="329">
        <v>35896.33</v>
      </c>
    </row>
    <row r="139" spans="1:17" ht="15" customHeight="1" x14ac:dyDescent="0.25">
      <c r="A139" s="335">
        <v>131</v>
      </c>
      <c r="B139" s="336">
        <v>45631</v>
      </c>
      <c r="C139" s="43">
        <v>756800</v>
      </c>
      <c r="D139" s="44" t="s">
        <v>224</v>
      </c>
      <c r="E139" s="255">
        <v>135</v>
      </c>
      <c r="F139" s="255"/>
      <c r="G139" s="136">
        <f t="shared" si="9"/>
        <v>20052.299999999985</v>
      </c>
      <c r="H139" s="130" t="s">
        <v>246</v>
      </c>
      <c r="I139" s="328">
        <f t="shared" ref="I139:I200" si="12">E139-F139</f>
        <v>135</v>
      </c>
      <c r="J139" s="329"/>
      <c r="K139" s="329"/>
      <c r="L139" s="333">
        <v>45631</v>
      </c>
      <c r="N139" s="327" t="s">
        <v>280</v>
      </c>
      <c r="O139" s="329">
        <f>SUM(I7:I140)</f>
        <v>2402.620000000004</v>
      </c>
      <c r="P139" s="327" t="s">
        <v>280</v>
      </c>
      <c r="Q139" s="329">
        <f>SUM(J7:J140)</f>
        <v>35896.330000000009</v>
      </c>
    </row>
    <row r="140" spans="1:17" ht="15" customHeight="1" x14ac:dyDescent="0.25">
      <c r="A140" s="335">
        <v>132</v>
      </c>
      <c r="B140" s="336">
        <v>45631</v>
      </c>
      <c r="C140" s="43">
        <v>652100</v>
      </c>
      <c r="D140" s="44" t="s">
        <v>231</v>
      </c>
      <c r="E140" s="255"/>
      <c r="F140" s="255">
        <v>147.5</v>
      </c>
      <c r="G140" s="136">
        <f t="shared" si="9"/>
        <v>19904.799999999985</v>
      </c>
      <c r="H140" s="130" t="s">
        <v>246</v>
      </c>
      <c r="I140" s="328">
        <f t="shared" si="12"/>
        <v>-147.5</v>
      </c>
      <c r="J140" s="329"/>
      <c r="K140" s="329"/>
      <c r="L140" s="333">
        <v>45631</v>
      </c>
      <c r="N140" s="327" t="s">
        <v>247</v>
      </c>
      <c r="O140" s="329">
        <f>O138-O139</f>
        <v>-4.0927261579781771E-12</v>
      </c>
      <c r="P140" s="327" t="s">
        <v>247</v>
      </c>
      <c r="Q140" s="329">
        <f>Q138-Q139</f>
        <v>0</v>
      </c>
    </row>
    <row r="141" spans="1:17" ht="15" customHeight="1" x14ac:dyDescent="0.25">
      <c r="A141" s="335">
        <v>133</v>
      </c>
      <c r="B141" s="336">
        <v>45633</v>
      </c>
      <c r="C141" s="43">
        <v>605100</v>
      </c>
      <c r="D141" s="44" t="s">
        <v>278</v>
      </c>
      <c r="E141" s="255"/>
      <c r="F141" s="255">
        <v>419.99</v>
      </c>
      <c r="G141" s="136">
        <f t="shared" si="9"/>
        <v>19484.809999999983</v>
      </c>
      <c r="H141" s="130" t="s">
        <v>246</v>
      </c>
      <c r="I141" s="328">
        <f t="shared" si="12"/>
        <v>-419.99</v>
      </c>
      <c r="J141" s="329"/>
      <c r="K141" s="329"/>
      <c r="L141" s="333">
        <v>45693</v>
      </c>
    </row>
    <row r="142" spans="1:17" ht="15" customHeight="1" x14ac:dyDescent="0.25">
      <c r="A142" s="335">
        <v>134</v>
      </c>
      <c r="B142" s="336">
        <v>45639</v>
      </c>
      <c r="C142" s="43">
        <v>626200</v>
      </c>
      <c r="D142" s="44" t="s">
        <v>233</v>
      </c>
      <c r="E142" s="255"/>
      <c r="F142" s="255">
        <v>-4.79</v>
      </c>
      <c r="G142" s="136">
        <f t="shared" si="9"/>
        <v>19489.599999999984</v>
      </c>
      <c r="H142" s="130" t="s">
        <v>246</v>
      </c>
      <c r="I142" s="328">
        <f t="shared" si="12"/>
        <v>4.79</v>
      </c>
      <c r="J142" s="329"/>
      <c r="K142" s="329"/>
      <c r="L142" s="333">
        <v>45663</v>
      </c>
    </row>
    <row r="143" spans="1:17" ht="15" customHeight="1" x14ac:dyDescent="0.25">
      <c r="A143" s="335">
        <v>135</v>
      </c>
      <c r="B143" s="336">
        <v>45644</v>
      </c>
      <c r="C143" s="43" t="s">
        <v>229</v>
      </c>
      <c r="D143" s="44" t="s">
        <v>290</v>
      </c>
      <c r="E143" s="255"/>
      <c r="F143" s="255"/>
      <c r="G143" s="136">
        <f t="shared" si="9"/>
        <v>19489.599999999984</v>
      </c>
      <c r="H143" s="130" t="s">
        <v>246</v>
      </c>
      <c r="I143" s="328">
        <v>1000</v>
      </c>
      <c r="J143" s="329">
        <v>-1000</v>
      </c>
      <c r="K143" s="329"/>
      <c r="L143" s="333">
        <v>45663</v>
      </c>
    </row>
    <row r="144" spans="1:17" ht="15" customHeight="1" x14ac:dyDescent="0.25">
      <c r="A144" s="335">
        <v>136</v>
      </c>
      <c r="B144" s="336">
        <v>45649</v>
      </c>
      <c r="C144" s="43">
        <v>622640</v>
      </c>
      <c r="D144" s="44" t="s">
        <v>406</v>
      </c>
      <c r="E144" s="255"/>
      <c r="F144" s="255">
        <v>240</v>
      </c>
      <c r="G144" s="136">
        <f t="shared" si="9"/>
        <v>19249.599999999984</v>
      </c>
      <c r="H144" s="130" t="s">
        <v>246</v>
      </c>
      <c r="I144" s="328">
        <f t="shared" si="12"/>
        <v>-240</v>
      </c>
      <c r="J144" s="329"/>
      <c r="K144" s="329"/>
      <c r="L144" s="333">
        <v>45663</v>
      </c>
    </row>
    <row r="145" spans="1:17" ht="15" customHeight="1" x14ac:dyDescent="0.25">
      <c r="A145" s="335">
        <v>137</v>
      </c>
      <c r="B145" s="336">
        <v>45649</v>
      </c>
      <c r="C145" s="43" t="s">
        <v>229</v>
      </c>
      <c r="D145" s="44" t="s">
        <v>291</v>
      </c>
      <c r="E145" s="255"/>
      <c r="F145" s="255"/>
      <c r="G145" s="136">
        <f t="shared" si="9"/>
        <v>19249.599999999984</v>
      </c>
      <c r="H145" s="130" t="s">
        <v>246</v>
      </c>
      <c r="I145" s="328">
        <v>500</v>
      </c>
      <c r="J145" s="329">
        <v>-500</v>
      </c>
      <c r="K145" s="329"/>
      <c r="L145" s="333">
        <v>45663</v>
      </c>
    </row>
    <row r="146" spans="1:17" ht="15" customHeight="1" x14ac:dyDescent="0.25">
      <c r="A146" s="335">
        <v>138</v>
      </c>
      <c r="B146" s="336">
        <v>45653</v>
      </c>
      <c r="C146" s="43">
        <v>626200</v>
      </c>
      <c r="D146" s="44" t="s">
        <v>233</v>
      </c>
      <c r="E146" s="255"/>
      <c r="F146" s="255">
        <v>9.99</v>
      </c>
      <c r="G146" s="136">
        <f t="shared" si="9"/>
        <v>19239.609999999982</v>
      </c>
      <c r="H146" s="130" t="s">
        <v>246</v>
      </c>
      <c r="I146" s="328">
        <f t="shared" si="12"/>
        <v>-9.99</v>
      </c>
      <c r="J146" s="329"/>
      <c r="K146" s="329"/>
      <c r="L146" s="333">
        <v>45663</v>
      </c>
    </row>
    <row r="147" spans="1:17" ht="15" customHeight="1" x14ac:dyDescent="0.25">
      <c r="A147" s="335">
        <v>139</v>
      </c>
      <c r="B147" s="336">
        <v>45654</v>
      </c>
      <c r="C147" s="43">
        <v>641200</v>
      </c>
      <c r="D147" s="44" t="s">
        <v>292</v>
      </c>
      <c r="E147" s="255"/>
      <c r="F147" s="255">
        <v>550.54</v>
      </c>
      <c r="G147" s="136">
        <f t="shared" si="9"/>
        <v>18689.069999999982</v>
      </c>
      <c r="H147" s="130" t="s">
        <v>246</v>
      </c>
      <c r="I147" s="328">
        <f t="shared" si="12"/>
        <v>-550.54</v>
      </c>
      <c r="J147" s="329"/>
      <c r="K147" s="329"/>
      <c r="L147" s="333">
        <v>45663</v>
      </c>
    </row>
    <row r="148" spans="1:17" ht="15" customHeight="1" x14ac:dyDescent="0.25">
      <c r="A148" s="335">
        <v>140</v>
      </c>
      <c r="B148" s="336">
        <v>45654</v>
      </c>
      <c r="C148" s="43">
        <v>641200</v>
      </c>
      <c r="D148" s="44" t="s">
        <v>293</v>
      </c>
      <c r="E148" s="255"/>
      <c r="F148" s="255">
        <v>347.95</v>
      </c>
      <c r="G148" s="136">
        <f t="shared" si="9"/>
        <v>18341.119999999981</v>
      </c>
      <c r="H148" s="130" t="s">
        <v>246</v>
      </c>
      <c r="I148" s="328">
        <f t="shared" si="12"/>
        <v>-347.95</v>
      </c>
      <c r="J148" s="329"/>
      <c r="K148" s="329"/>
      <c r="L148" s="333">
        <v>45663</v>
      </c>
    </row>
    <row r="149" spans="1:17" ht="15" customHeight="1" x14ac:dyDescent="0.25">
      <c r="A149" s="335">
        <v>141</v>
      </c>
      <c r="B149" s="336">
        <v>45654</v>
      </c>
      <c r="C149" s="43">
        <v>641200</v>
      </c>
      <c r="D149" s="44" t="s">
        <v>294</v>
      </c>
      <c r="E149" s="255"/>
      <c r="F149" s="255">
        <v>174.58</v>
      </c>
      <c r="G149" s="136">
        <f t="shared" si="9"/>
        <v>18166.539999999979</v>
      </c>
      <c r="H149" s="130" t="s">
        <v>246</v>
      </c>
      <c r="I149" s="328">
        <f t="shared" si="12"/>
        <v>-174.58</v>
      </c>
      <c r="J149" s="329"/>
      <c r="K149" s="329"/>
      <c r="L149" s="333">
        <v>45663</v>
      </c>
    </row>
    <row r="150" spans="1:17" ht="15" customHeight="1" x14ac:dyDescent="0.25">
      <c r="A150" s="335">
        <v>142</v>
      </c>
      <c r="B150" s="336">
        <v>45654</v>
      </c>
      <c r="C150" s="43">
        <v>641200</v>
      </c>
      <c r="D150" s="44" t="s">
        <v>295</v>
      </c>
      <c r="E150" s="255"/>
      <c r="F150" s="255">
        <v>504.06</v>
      </c>
      <c r="G150" s="136">
        <f t="shared" si="9"/>
        <v>17662.479999999978</v>
      </c>
      <c r="H150" s="130" t="s">
        <v>246</v>
      </c>
      <c r="I150" s="328">
        <f t="shared" si="12"/>
        <v>-504.06</v>
      </c>
      <c r="J150" s="329"/>
      <c r="K150" s="329"/>
      <c r="L150" s="333">
        <v>45663</v>
      </c>
    </row>
    <row r="151" spans="1:17" ht="15" customHeight="1" x14ac:dyDescent="0.25">
      <c r="A151" s="335">
        <v>143</v>
      </c>
      <c r="B151" s="336">
        <v>45654</v>
      </c>
      <c r="C151" s="43">
        <v>641200</v>
      </c>
      <c r="D151" s="44" t="s">
        <v>296</v>
      </c>
      <c r="E151" s="255"/>
      <c r="F151" s="255">
        <v>189.28</v>
      </c>
      <c r="G151" s="136">
        <f t="shared" si="9"/>
        <v>17473.199999999979</v>
      </c>
      <c r="H151" s="130" t="s">
        <v>246</v>
      </c>
      <c r="I151" s="328">
        <f t="shared" si="12"/>
        <v>-189.28</v>
      </c>
      <c r="J151" s="329"/>
      <c r="K151" s="329"/>
      <c r="L151" s="333">
        <v>45663</v>
      </c>
    </row>
    <row r="152" spans="1:17" ht="15" customHeight="1" x14ac:dyDescent="0.25">
      <c r="A152" s="335">
        <v>144</v>
      </c>
      <c r="B152" s="336">
        <v>45657</v>
      </c>
      <c r="C152" s="43">
        <v>622610</v>
      </c>
      <c r="D152" s="44" t="s">
        <v>297</v>
      </c>
      <c r="E152" s="255"/>
      <c r="F152" s="255">
        <v>105</v>
      </c>
      <c r="G152" s="136">
        <f t="shared" si="9"/>
        <v>17368.199999999979</v>
      </c>
      <c r="H152" s="130" t="s">
        <v>246</v>
      </c>
      <c r="I152" s="328">
        <f t="shared" si="12"/>
        <v>-105</v>
      </c>
      <c r="J152" s="329"/>
      <c r="K152" s="329"/>
      <c r="L152" s="333">
        <v>45663</v>
      </c>
    </row>
    <row r="153" spans="1:17" ht="15" customHeight="1" x14ac:dyDescent="0.25">
      <c r="A153" s="335">
        <v>145</v>
      </c>
      <c r="B153" s="336">
        <v>45657</v>
      </c>
      <c r="C153" s="43">
        <v>645700</v>
      </c>
      <c r="D153" s="44" t="s">
        <v>298</v>
      </c>
      <c r="E153" s="255"/>
      <c r="F153" s="255">
        <v>48.61</v>
      </c>
      <c r="G153" s="136">
        <f t="shared" si="9"/>
        <v>17319.589999999978</v>
      </c>
      <c r="H153" s="130" t="s">
        <v>246</v>
      </c>
      <c r="I153" s="328">
        <f t="shared" si="12"/>
        <v>-48.61</v>
      </c>
      <c r="J153" s="329"/>
      <c r="K153" s="329"/>
      <c r="L153" s="333">
        <v>45663</v>
      </c>
      <c r="N153" s="327" t="s">
        <v>300</v>
      </c>
      <c r="O153" s="329">
        <v>1735.17</v>
      </c>
      <c r="P153" s="327" t="s">
        <v>301</v>
      </c>
      <c r="Q153" s="329">
        <v>34948.379999999997</v>
      </c>
    </row>
    <row r="154" spans="1:17" ht="15" customHeight="1" x14ac:dyDescent="0.25">
      <c r="A154" s="335">
        <v>146</v>
      </c>
      <c r="B154" s="336">
        <v>45657</v>
      </c>
      <c r="C154" s="43">
        <v>645800</v>
      </c>
      <c r="D154" s="44" t="s">
        <v>299</v>
      </c>
      <c r="E154" s="255"/>
      <c r="F154" s="255">
        <v>672.23</v>
      </c>
      <c r="G154" s="136">
        <f t="shared" si="9"/>
        <v>16647.359999999979</v>
      </c>
      <c r="H154" s="130" t="s">
        <v>246</v>
      </c>
      <c r="I154" s="328">
        <f t="shared" si="12"/>
        <v>-672.23</v>
      </c>
      <c r="J154" s="329"/>
      <c r="K154" s="329"/>
      <c r="L154" s="333">
        <v>45663</v>
      </c>
      <c r="N154" s="327" t="s">
        <v>302</v>
      </c>
      <c r="O154" s="329">
        <f>SUM(I7:I156)</f>
        <v>1315.1800000000044</v>
      </c>
      <c r="P154" s="327" t="s">
        <v>302</v>
      </c>
      <c r="Q154" s="329">
        <f>SUM(J7:J156)</f>
        <v>34948.380000000012</v>
      </c>
    </row>
    <row r="155" spans="1:17" ht="15" customHeight="1" x14ac:dyDescent="0.25">
      <c r="A155" s="335">
        <v>147</v>
      </c>
      <c r="B155" s="336">
        <v>46022</v>
      </c>
      <c r="C155" s="173">
        <v>768000</v>
      </c>
      <c r="D155" s="175" t="s">
        <v>303</v>
      </c>
      <c r="E155" s="255">
        <v>552.04999999999995</v>
      </c>
      <c r="F155" s="255"/>
      <c r="G155" s="136">
        <f t="shared" si="9"/>
        <v>17199.409999999978</v>
      </c>
      <c r="H155" s="130" t="s">
        <v>246</v>
      </c>
      <c r="I155" s="328">
        <v>0</v>
      </c>
      <c r="J155" s="329">
        <v>552.04999999999995</v>
      </c>
      <c r="K155" s="329"/>
      <c r="L155" s="333">
        <v>45663</v>
      </c>
      <c r="N155" s="327" t="s">
        <v>247</v>
      </c>
      <c r="O155" s="329">
        <f>O153-O154</f>
        <v>419.98999999999569</v>
      </c>
      <c r="P155" s="327" t="s">
        <v>247</v>
      </c>
      <c r="Q155" s="329">
        <f>Q153-Q154</f>
        <v>0</v>
      </c>
    </row>
    <row r="156" spans="1:17" ht="15" customHeight="1" x14ac:dyDescent="0.25">
      <c r="A156" s="335">
        <v>148</v>
      </c>
      <c r="B156" s="336">
        <v>45660</v>
      </c>
      <c r="C156" s="173">
        <v>756800</v>
      </c>
      <c r="D156" s="175" t="s">
        <v>242</v>
      </c>
      <c r="E156" s="255">
        <v>670</v>
      </c>
      <c r="F156" s="255"/>
      <c r="G156" s="136">
        <f t="shared" si="9"/>
        <v>17869.409999999978</v>
      </c>
      <c r="H156" s="130" t="s">
        <v>246</v>
      </c>
      <c r="I156" s="328">
        <f t="shared" si="12"/>
        <v>670</v>
      </c>
      <c r="J156" s="329"/>
      <c r="K156" s="329"/>
      <c r="L156" s="333">
        <v>45663</v>
      </c>
      <c r="N156" s="338" t="s">
        <v>304</v>
      </c>
      <c r="O156" s="339">
        <v>419.99</v>
      </c>
    </row>
    <row r="157" spans="1:17" ht="15" customHeight="1" x14ac:dyDescent="0.25">
      <c r="A157" s="335">
        <v>149</v>
      </c>
      <c r="B157" s="336">
        <v>45671</v>
      </c>
      <c r="C157" s="43">
        <v>652100</v>
      </c>
      <c r="D157" s="44" t="s">
        <v>231</v>
      </c>
      <c r="E157" s="255"/>
      <c r="F157" s="255">
        <v>29.5</v>
      </c>
      <c r="G157" s="136">
        <f t="shared" si="9"/>
        <v>17839.909999999978</v>
      </c>
      <c r="H157" s="130" t="s">
        <v>246</v>
      </c>
      <c r="I157" s="328">
        <f t="shared" si="12"/>
        <v>-29.5</v>
      </c>
      <c r="J157" s="329"/>
      <c r="K157" s="329"/>
      <c r="L157" s="333">
        <v>45693</v>
      </c>
    </row>
    <row r="158" spans="1:17" ht="15" customHeight="1" x14ac:dyDescent="0.25">
      <c r="A158" s="335">
        <v>150</v>
      </c>
      <c r="B158" s="336">
        <v>45671</v>
      </c>
      <c r="C158" s="43">
        <v>756800</v>
      </c>
      <c r="D158" s="44" t="s">
        <v>305</v>
      </c>
      <c r="E158" s="255">
        <v>67.5</v>
      </c>
      <c r="F158" s="255"/>
      <c r="G158" s="136">
        <f t="shared" si="9"/>
        <v>17907.409999999978</v>
      </c>
      <c r="H158" s="130" t="s">
        <v>246</v>
      </c>
      <c r="I158" s="328">
        <f t="shared" si="12"/>
        <v>67.5</v>
      </c>
      <c r="J158" s="329"/>
      <c r="K158" s="329"/>
      <c r="L158" s="333">
        <v>45693</v>
      </c>
      <c r="N158" s="323"/>
      <c r="O158" s="337"/>
      <c r="P158" s="323"/>
      <c r="Q158" s="337"/>
    </row>
    <row r="159" spans="1:17" ht="15" customHeight="1" x14ac:dyDescent="0.25">
      <c r="A159" s="335">
        <v>151</v>
      </c>
      <c r="B159" s="336">
        <v>45672</v>
      </c>
      <c r="C159" s="43">
        <v>756800</v>
      </c>
      <c r="D159" s="44" t="s">
        <v>306</v>
      </c>
      <c r="E159" s="255">
        <v>67.5</v>
      </c>
      <c r="F159" s="255"/>
      <c r="G159" s="136">
        <f t="shared" si="9"/>
        <v>17974.909999999978</v>
      </c>
      <c r="H159" s="130" t="s">
        <v>246</v>
      </c>
      <c r="I159" s="328">
        <f t="shared" si="12"/>
        <v>67.5</v>
      </c>
      <c r="J159" s="329"/>
      <c r="K159" s="329"/>
      <c r="L159" s="333">
        <v>45693</v>
      </c>
      <c r="N159" s="323"/>
      <c r="O159" s="337"/>
      <c r="P159" s="323"/>
      <c r="Q159" s="337"/>
    </row>
    <row r="160" spans="1:17" ht="15" customHeight="1" x14ac:dyDescent="0.25">
      <c r="A160" s="335">
        <v>152</v>
      </c>
      <c r="B160" s="336">
        <v>45675</v>
      </c>
      <c r="C160" s="43" t="s">
        <v>229</v>
      </c>
      <c r="D160" s="44" t="s">
        <v>307</v>
      </c>
      <c r="E160" s="255"/>
      <c r="F160" s="255"/>
      <c r="G160" s="136">
        <f t="shared" si="9"/>
        <v>17974.909999999978</v>
      </c>
      <c r="H160" s="130" t="s">
        <v>246</v>
      </c>
      <c r="I160" s="328">
        <v>2000</v>
      </c>
      <c r="J160" s="329">
        <v>-2000</v>
      </c>
      <c r="K160" s="329"/>
      <c r="L160" s="333">
        <v>45693</v>
      </c>
      <c r="N160" s="323"/>
      <c r="O160" s="337"/>
      <c r="P160" s="323"/>
      <c r="Q160" s="337"/>
    </row>
    <row r="161" spans="1:17" ht="15" customHeight="1" x14ac:dyDescent="0.25">
      <c r="A161" s="335">
        <v>153</v>
      </c>
      <c r="B161" s="336">
        <v>45684</v>
      </c>
      <c r="C161" s="43">
        <v>626200</v>
      </c>
      <c r="D161" s="44" t="s">
        <v>233</v>
      </c>
      <c r="E161" s="255"/>
      <c r="F161" s="255">
        <v>9.99</v>
      </c>
      <c r="G161" s="136">
        <f t="shared" ref="G161:G176" si="13">+G160+E161-F161</f>
        <v>17964.919999999976</v>
      </c>
      <c r="H161" s="130" t="s">
        <v>246</v>
      </c>
      <c r="I161" s="328">
        <f t="shared" si="12"/>
        <v>-9.99</v>
      </c>
      <c r="J161" s="329"/>
      <c r="K161" s="329"/>
      <c r="L161" s="333">
        <v>45693</v>
      </c>
    </row>
    <row r="162" spans="1:17" ht="15" customHeight="1" x14ac:dyDescent="0.25">
      <c r="A162" s="335">
        <v>154</v>
      </c>
      <c r="B162" s="336">
        <v>45688</v>
      </c>
      <c r="C162" s="43">
        <v>641200</v>
      </c>
      <c r="D162" s="44" t="s">
        <v>352</v>
      </c>
      <c r="E162" s="255"/>
      <c r="F162" s="255">
        <v>484.32</v>
      </c>
      <c r="G162" s="136">
        <f t="shared" si="13"/>
        <v>17480.599999999977</v>
      </c>
      <c r="H162" s="130" t="s">
        <v>246</v>
      </c>
      <c r="I162" s="328">
        <f t="shared" si="12"/>
        <v>-484.32</v>
      </c>
      <c r="J162" s="329"/>
      <c r="K162" s="329"/>
      <c r="L162" s="333">
        <v>45693</v>
      </c>
    </row>
    <row r="163" spans="1:17" ht="15" customHeight="1" x14ac:dyDescent="0.25">
      <c r="A163" s="335">
        <v>155</v>
      </c>
      <c r="B163" s="336">
        <v>45688</v>
      </c>
      <c r="C163" s="43">
        <v>641200</v>
      </c>
      <c r="D163" s="44" t="s">
        <v>353</v>
      </c>
      <c r="E163" s="255"/>
      <c r="F163" s="255">
        <v>288.68</v>
      </c>
      <c r="G163" s="136">
        <f t="shared" si="13"/>
        <v>17191.919999999976</v>
      </c>
      <c r="H163" s="130" t="s">
        <v>246</v>
      </c>
      <c r="I163" s="328">
        <f t="shared" si="12"/>
        <v>-288.68</v>
      </c>
      <c r="J163" s="329"/>
      <c r="K163" s="329"/>
      <c r="L163" s="333">
        <v>45693</v>
      </c>
    </row>
    <row r="164" spans="1:17" ht="15" customHeight="1" x14ac:dyDescent="0.25">
      <c r="A164" s="335">
        <v>156</v>
      </c>
      <c r="B164" s="336">
        <v>45688</v>
      </c>
      <c r="C164" s="43">
        <v>641200</v>
      </c>
      <c r="D164" s="44" t="s">
        <v>354</v>
      </c>
      <c r="E164" s="255"/>
      <c r="F164" s="255">
        <v>174.36</v>
      </c>
      <c r="G164" s="136">
        <f t="shared" si="13"/>
        <v>17017.559999999976</v>
      </c>
      <c r="H164" s="130" t="s">
        <v>246</v>
      </c>
      <c r="I164" s="328">
        <f t="shared" si="12"/>
        <v>-174.36</v>
      </c>
      <c r="J164" s="329"/>
      <c r="K164" s="329"/>
      <c r="L164" s="333">
        <v>45693</v>
      </c>
    </row>
    <row r="165" spans="1:17" ht="15" customHeight="1" x14ac:dyDescent="0.25">
      <c r="A165" s="335">
        <v>157</v>
      </c>
      <c r="B165" s="336">
        <v>45688</v>
      </c>
      <c r="C165" s="43">
        <v>641200</v>
      </c>
      <c r="D165" s="44" t="s">
        <v>355</v>
      </c>
      <c r="E165" s="255"/>
      <c r="F165" s="255">
        <v>503.39</v>
      </c>
      <c r="G165" s="136">
        <f t="shared" si="13"/>
        <v>16514.169999999976</v>
      </c>
      <c r="H165" s="130" t="s">
        <v>246</v>
      </c>
      <c r="I165" s="328">
        <f t="shared" si="12"/>
        <v>-503.39</v>
      </c>
      <c r="J165" s="329"/>
      <c r="K165" s="329"/>
      <c r="L165" s="333">
        <v>45693</v>
      </c>
    </row>
    <row r="166" spans="1:17" ht="15" customHeight="1" x14ac:dyDescent="0.25">
      <c r="A166" s="335">
        <v>158</v>
      </c>
      <c r="B166" s="336">
        <v>45688</v>
      </c>
      <c r="C166" s="43">
        <v>641200</v>
      </c>
      <c r="D166" s="44" t="s">
        <v>356</v>
      </c>
      <c r="E166" s="255"/>
      <c r="F166" s="255">
        <v>315.82</v>
      </c>
      <c r="G166" s="136">
        <f t="shared" si="13"/>
        <v>16198.349999999977</v>
      </c>
      <c r="H166" s="130" t="s">
        <v>246</v>
      </c>
      <c r="I166" s="328">
        <f t="shared" si="12"/>
        <v>-315.82</v>
      </c>
      <c r="J166" s="329"/>
      <c r="K166" s="329"/>
      <c r="L166" s="333">
        <v>45693</v>
      </c>
    </row>
    <row r="167" spans="1:17" ht="15" customHeight="1" x14ac:dyDescent="0.25">
      <c r="A167" s="335">
        <v>159</v>
      </c>
      <c r="B167" s="336">
        <v>45688</v>
      </c>
      <c r="C167" s="43">
        <v>652100</v>
      </c>
      <c r="D167" s="44" t="s">
        <v>231</v>
      </c>
      <c r="E167" s="255"/>
      <c r="F167" s="255">
        <v>88.5</v>
      </c>
      <c r="G167" s="136">
        <f t="shared" si="13"/>
        <v>16109.849999999977</v>
      </c>
      <c r="H167" s="130" t="s">
        <v>246</v>
      </c>
      <c r="I167" s="328">
        <f t="shared" si="12"/>
        <v>-88.5</v>
      </c>
      <c r="J167" s="329"/>
      <c r="K167" s="329"/>
      <c r="L167" s="333">
        <v>45693</v>
      </c>
    </row>
    <row r="168" spans="1:17" ht="15" customHeight="1" x14ac:dyDescent="0.25">
      <c r="A168" s="335">
        <v>160</v>
      </c>
      <c r="B168" s="336">
        <v>45688</v>
      </c>
      <c r="C168" s="43">
        <v>645800</v>
      </c>
      <c r="D168" s="44" t="s">
        <v>357</v>
      </c>
      <c r="E168" s="255"/>
      <c r="F168" s="255">
        <v>699.1</v>
      </c>
      <c r="G168" s="136">
        <f t="shared" si="13"/>
        <v>15410.749999999976</v>
      </c>
      <c r="H168" s="130" t="s">
        <v>246</v>
      </c>
      <c r="I168" s="328">
        <f t="shared" si="12"/>
        <v>-699.1</v>
      </c>
      <c r="J168" s="329"/>
      <c r="K168" s="329"/>
      <c r="L168" s="333">
        <v>45693</v>
      </c>
    </row>
    <row r="169" spans="1:17" ht="15" customHeight="1" x14ac:dyDescent="0.25">
      <c r="A169" s="335">
        <v>161</v>
      </c>
      <c r="B169" s="336">
        <v>45688</v>
      </c>
      <c r="C169" s="43">
        <v>645700</v>
      </c>
      <c r="D169" s="44" t="s">
        <v>358</v>
      </c>
      <c r="E169" s="255"/>
      <c r="F169" s="255">
        <v>60.79</v>
      </c>
      <c r="G169" s="136">
        <f t="shared" si="13"/>
        <v>15349.959999999975</v>
      </c>
      <c r="H169" s="130" t="s">
        <v>246</v>
      </c>
      <c r="I169" s="328">
        <f t="shared" si="12"/>
        <v>-60.79</v>
      </c>
      <c r="J169" s="329"/>
      <c r="K169" s="329"/>
      <c r="L169" s="333">
        <v>45693</v>
      </c>
    </row>
    <row r="170" spans="1:17" ht="15" customHeight="1" x14ac:dyDescent="0.25">
      <c r="A170" s="335">
        <v>162</v>
      </c>
      <c r="B170" s="336">
        <v>45688</v>
      </c>
      <c r="C170" s="43">
        <v>622610</v>
      </c>
      <c r="D170" s="44" t="s">
        <v>359</v>
      </c>
      <c r="E170" s="255"/>
      <c r="F170" s="255">
        <v>105</v>
      </c>
      <c r="G170" s="136">
        <f t="shared" si="13"/>
        <v>15244.959999999975</v>
      </c>
      <c r="H170" s="130" t="s">
        <v>246</v>
      </c>
      <c r="I170" s="328">
        <f t="shared" si="12"/>
        <v>-105</v>
      </c>
      <c r="J170" s="329"/>
      <c r="K170" s="329"/>
      <c r="L170" s="333">
        <v>45693</v>
      </c>
      <c r="N170" s="327" t="s">
        <v>309</v>
      </c>
      <c r="O170" s="329">
        <v>840.73</v>
      </c>
      <c r="P170" s="327" t="s">
        <v>310</v>
      </c>
      <c r="Q170" s="329">
        <v>32948.379999999997</v>
      </c>
    </row>
    <row r="171" spans="1:17" ht="15" customHeight="1" x14ac:dyDescent="0.25">
      <c r="A171" s="335">
        <v>163</v>
      </c>
      <c r="B171" s="336">
        <v>45688</v>
      </c>
      <c r="C171" s="43">
        <v>622640</v>
      </c>
      <c r="D171" s="44" t="s">
        <v>407</v>
      </c>
      <c r="E171" s="255"/>
      <c r="F171" s="255">
        <v>320</v>
      </c>
      <c r="G171" s="136">
        <f t="shared" si="13"/>
        <v>14924.959999999975</v>
      </c>
      <c r="H171" s="130" t="s">
        <v>246</v>
      </c>
      <c r="I171" s="328">
        <f t="shared" si="12"/>
        <v>-320</v>
      </c>
      <c r="J171" s="329"/>
      <c r="K171" s="329"/>
      <c r="L171" s="333">
        <v>45693</v>
      </c>
      <c r="N171" s="327" t="s">
        <v>311</v>
      </c>
      <c r="O171" s="329">
        <f>SUM(I7:I172)</f>
        <v>840.73000000000468</v>
      </c>
      <c r="P171" s="327" t="s">
        <v>311</v>
      </c>
      <c r="Q171" s="329">
        <f>SUM(J7:J172)</f>
        <v>32948.380000000012</v>
      </c>
    </row>
    <row r="172" spans="1:17" ht="15" customHeight="1" x14ac:dyDescent="0.25">
      <c r="A172" s="335">
        <v>164</v>
      </c>
      <c r="B172" s="336">
        <v>45692</v>
      </c>
      <c r="C172" s="173">
        <v>756800</v>
      </c>
      <c r="D172" s="175" t="s">
        <v>242</v>
      </c>
      <c r="E172" s="255">
        <v>470</v>
      </c>
      <c r="F172" s="255"/>
      <c r="G172" s="136">
        <f t="shared" si="13"/>
        <v>15394.959999999975</v>
      </c>
      <c r="H172" s="130" t="s">
        <v>246</v>
      </c>
      <c r="I172" s="328">
        <f t="shared" si="12"/>
        <v>470</v>
      </c>
      <c r="J172" s="329"/>
      <c r="K172" s="329"/>
      <c r="L172" s="333">
        <v>45693</v>
      </c>
      <c r="N172" s="327" t="s">
        <v>247</v>
      </c>
      <c r="O172" s="329">
        <f>O170-O171</f>
        <v>-4.6611603465862572E-12</v>
      </c>
      <c r="P172" s="327" t="s">
        <v>247</v>
      </c>
      <c r="Q172" s="329">
        <f>Q170-Q171</f>
        <v>0</v>
      </c>
    </row>
    <row r="173" spans="1:17" ht="15" customHeight="1" x14ac:dyDescent="0.25">
      <c r="A173" s="335">
        <v>165</v>
      </c>
      <c r="B173" s="336">
        <v>45695</v>
      </c>
      <c r="C173" s="43">
        <v>758200</v>
      </c>
      <c r="D173" s="44" t="s">
        <v>308</v>
      </c>
      <c r="E173" s="255">
        <v>55</v>
      </c>
      <c r="F173" s="255"/>
      <c r="G173" s="136">
        <f t="shared" si="13"/>
        <v>15449.959999999975</v>
      </c>
      <c r="H173" s="130" t="s">
        <v>246</v>
      </c>
      <c r="I173" s="328">
        <f t="shared" si="12"/>
        <v>55</v>
      </c>
      <c r="J173" s="329"/>
      <c r="K173" s="329"/>
      <c r="L173" s="333">
        <v>45721</v>
      </c>
    </row>
    <row r="174" spans="1:17" ht="15" customHeight="1" x14ac:dyDescent="0.25">
      <c r="A174" s="335">
        <v>166</v>
      </c>
      <c r="B174" s="336">
        <v>45696</v>
      </c>
      <c r="C174" s="43">
        <v>605100</v>
      </c>
      <c r="D174" s="44" t="s">
        <v>312</v>
      </c>
      <c r="E174" s="255"/>
      <c r="F174" s="255">
        <v>174.95</v>
      </c>
      <c r="G174" s="136">
        <f t="shared" si="13"/>
        <v>15275.009999999975</v>
      </c>
      <c r="H174" s="130" t="s">
        <v>246</v>
      </c>
      <c r="I174" s="328">
        <f t="shared" si="12"/>
        <v>-174.95</v>
      </c>
      <c r="J174" s="329"/>
      <c r="K174" s="329"/>
      <c r="L174" s="333">
        <v>45721</v>
      </c>
      <c r="N174" s="323"/>
      <c r="O174" s="337"/>
      <c r="P174" s="323"/>
      <c r="Q174" s="337"/>
    </row>
    <row r="175" spans="1:17" ht="15" customHeight="1" x14ac:dyDescent="0.25">
      <c r="A175" s="335">
        <v>167</v>
      </c>
      <c r="B175" s="336">
        <v>45706</v>
      </c>
      <c r="C175" s="43" t="s">
        <v>229</v>
      </c>
      <c r="D175" s="44" t="s">
        <v>313</v>
      </c>
      <c r="E175" s="255"/>
      <c r="F175" s="255"/>
      <c r="G175" s="136">
        <f t="shared" si="13"/>
        <v>15275.009999999975</v>
      </c>
      <c r="H175" s="130" t="s">
        <v>246</v>
      </c>
      <c r="I175" s="328">
        <v>3000</v>
      </c>
      <c r="J175" s="329">
        <v>-3000</v>
      </c>
      <c r="K175" s="329"/>
      <c r="L175" s="333">
        <v>45721</v>
      </c>
      <c r="N175" s="323"/>
      <c r="O175" s="337"/>
      <c r="P175" s="323"/>
      <c r="Q175" s="337"/>
    </row>
    <row r="176" spans="1:17" ht="15" customHeight="1" x14ac:dyDescent="0.25">
      <c r="A176" s="335">
        <v>168</v>
      </c>
      <c r="B176" s="336">
        <v>45713</v>
      </c>
      <c r="C176" s="43">
        <v>626200</v>
      </c>
      <c r="D176" s="44" t="s">
        <v>233</v>
      </c>
      <c r="E176" s="255"/>
      <c r="F176" s="255">
        <v>9.99</v>
      </c>
      <c r="G176" s="136">
        <f t="shared" si="13"/>
        <v>15265.019999999975</v>
      </c>
      <c r="H176" s="130" t="s">
        <v>246</v>
      </c>
      <c r="I176" s="328">
        <f t="shared" si="12"/>
        <v>-9.99</v>
      </c>
      <c r="J176" s="329"/>
      <c r="K176" s="329"/>
      <c r="L176" s="333">
        <v>45721</v>
      </c>
      <c r="N176" s="323"/>
      <c r="O176" s="337"/>
      <c r="P176" s="323"/>
      <c r="Q176" s="337"/>
    </row>
    <row r="177" spans="1:17" ht="15" customHeight="1" x14ac:dyDescent="0.25">
      <c r="A177" s="335">
        <v>169</v>
      </c>
      <c r="B177" s="336">
        <v>45715</v>
      </c>
      <c r="C177" s="43">
        <v>622640</v>
      </c>
      <c r="D177" s="44" t="s">
        <v>314</v>
      </c>
      <c r="E177" s="255"/>
      <c r="F177" s="255">
        <v>560</v>
      </c>
      <c r="G177" s="136">
        <f t="shared" ref="G177:G204" si="14">+G176+E177-F177</f>
        <v>14705.019999999975</v>
      </c>
      <c r="H177" s="130" t="s">
        <v>246</v>
      </c>
      <c r="I177" s="328">
        <f t="shared" si="12"/>
        <v>-560</v>
      </c>
      <c r="J177" s="329"/>
      <c r="K177" s="329"/>
      <c r="L177" s="333">
        <v>45721</v>
      </c>
    </row>
    <row r="178" spans="1:17" ht="15" customHeight="1" x14ac:dyDescent="0.25">
      <c r="A178" s="335">
        <v>170</v>
      </c>
      <c r="B178" s="336">
        <v>45715</v>
      </c>
      <c r="C178" s="43">
        <v>605100</v>
      </c>
      <c r="D178" s="44" t="s">
        <v>315</v>
      </c>
      <c r="E178" s="255"/>
      <c r="F178" s="255">
        <v>159.94999999999999</v>
      </c>
      <c r="G178" s="136">
        <f t="shared" si="14"/>
        <v>14545.069999999974</v>
      </c>
      <c r="H178" s="130" t="s">
        <v>246</v>
      </c>
      <c r="I178" s="328">
        <f t="shared" si="12"/>
        <v>-159.94999999999999</v>
      </c>
      <c r="J178" s="329"/>
      <c r="K178" s="329"/>
      <c r="L178" s="333">
        <v>45721</v>
      </c>
    </row>
    <row r="179" spans="1:17" ht="15" customHeight="1" x14ac:dyDescent="0.25">
      <c r="A179" s="335">
        <v>171</v>
      </c>
      <c r="B179" s="336">
        <v>45716</v>
      </c>
      <c r="C179" s="43">
        <v>641200</v>
      </c>
      <c r="D179" s="44" t="s">
        <v>344</v>
      </c>
      <c r="E179" s="255"/>
      <c r="F179" s="255">
        <v>445.16</v>
      </c>
      <c r="G179" s="136">
        <f t="shared" si="14"/>
        <v>14099.909999999974</v>
      </c>
      <c r="H179" s="130" t="s">
        <v>246</v>
      </c>
      <c r="I179" s="328">
        <f t="shared" si="12"/>
        <v>-445.16</v>
      </c>
      <c r="J179" s="329"/>
      <c r="K179" s="329"/>
      <c r="L179" s="333">
        <v>45721</v>
      </c>
    </row>
    <row r="180" spans="1:17" ht="15" customHeight="1" x14ac:dyDescent="0.25">
      <c r="A180" s="335">
        <v>172</v>
      </c>
      <c r="B180" s="336">
        <v>45716</v>
      </c>
      <c r="C180" s="43">
        <v>641200</v>
      </c>
      <c r="D180" s="44" t="s">
        <v>345</v>
      </c>
      <c r="E180" s="255"/>
      <c r="F180" s="255">
        <v>198</v>
      </c>
      <c r="G180" s="136">
        <f t="shared" si="14"/>
        <v>13901.909999999974</v>
      </c>
      <c r="H180" s="130" t="s">
        <v>246</v>
      </c>
      <c r="I180" s="328">
        <f t="shared" si="12"/>
        <v>-198</v>
      </c>
      <c r="J180" s="329"/>
      <c r="K180" s="329"/>
      <c r="L180" s="333">
        <v>45721</v>
      </c>
    </row>
    <row r="181" spans="1:17" ht="15" customHeight="1" x14ac:dyDescent="0.25">
      <c r="A181" s="335">
        <v>173</v>
      </c>
      <c r="B181" s="336">
        <v>45716</v>
      </c>
      <c r="C181" s="43">
        <v>641200</v>
      </c>
      <c r="D181" s="44" t="s">
        <v>346</v>
      </c>
      <c r="E181" s="255"/>
      <c r="F181" s="255">
        <v>123.23</v>
      </c>
      <c r="G181" s="136">
        <f t="shared" si="14"/>
        <v>13778.679999999975</v>
      </c>
      <c r="H181" s="130" t="s">
        <v>246</v>
      </c>
      <c r="I181" s="328">
        <f t="shared" si="12"/>
        <v>-123.23</v>
      </c>
      <c r="J181" s="329"/>
      <c r="K181" s="329"/>
      <c r="L181" s="333">
        <v>45721</v>
      </c>
    </row>
    <row r="182" spans="1:17" ht="15" customHeight="1" x14ac:dyDescent="0.25">
      <c r="A182" s="335">
        <v>174</v>
      </c>
      <c r="B182" s="336">
        <v>45716</v>
      </c>
      <c r="C182" s="43">
        <v>641200</v>
      </c>
      <c r="D182" s="44" t="s">
        <v>347</v>
      </c>
      <c r="E182" s="255"/>
      <c r="F182" s="255">
        <v>375.23</v>
      </c>
      <c r="G182" s="136">
        <f t="shared" si="14"/>
        <v>13403.449999999975</v>
      </c>
      <c r="H182" s="130" t="s">
        <v>246</v>
      </c>
      <c r="I182" s="328">
        <f t="shared" si="12"/>
        <v>-375.23</v>
      </c>
      <c r="J182" s="329"/>
      <c r="K182" s="329"/>
      <c r="L182" s="333">
        <v>45721</v>
      </c>
    </row>
    <row r="183" spans="1:17" ht="15" customHeight="1" x14ac:dyDescent="0.25">
      <c r="A183" s="335">
        <v>175</v>
      </c>
      <c r="B183" s="336">
        <v>45716</v>
      </c>
      <c r="C183" s="43">
        <v>641200</v>
      </c>
      <c r="D183" s="44" t="s">
        <v>348</v>
      </c>
      <c r="E183" s="255"/>
      <c r="F183" s="255">
        <v>272.33</v>
      </c>
      <c r="G183" s="136">
        <f t="shared" si="14"/>
        <v>13131.119999999975</v>
      </c>
      <c r="H183" s="130" t="s">
        <v>246</v>
      </c>
      <c r="I183" s="328">
        <f t="shared" si="12"/>
        <v>-272.33</v>
      </c>
      <c r="J183" s="329"/>
      <c r="K183" s="329"/>
      <c r="L183" s="333">
        <v>45721</v>
      </c>
    </row>
    <row r="184" spans="1:17" ht="15" customHeight="1" x14ac:dyDescent="0.25">
      <c r="A184" s="335">
        <v>176</v>
      </c>
      <c r="B184" s="336">
        <v>45716</v>
      </c>
      <c r="C184" s="43">
        <v>645800</v>
      </c>
      <c r="D184" s="44" t="s">
        <v>349</v>
      </c>
      <c r="E184" s="255"/>
      <c r="F184" s="255">
        <v>470.01</v>
      </c>
      <c r="G184" s="136">
        <f t="shared" si="14"/>
        <v>12661.109999999975</v>
      </c>
      <c r="H184" s="130" t="s">
        <v>246</v>
      </c>
      <c r="I184" s="328">
        <f t="shared" si="12"/>
        <v>-470.01</v>
      </c>
      <c r="J184" s="329"/>
      <c r="K184" s="329"/>
      <c r="L184" s="333">
        <v>45721</v>
      </c>
    </row>
    <row r="185" spans="1:17" ht="15" customHeight="1" x14ac:dyDescent="0.25">
      <c r="A185" s="335">
        <v>177</v>
      </c>
      <c r="B185" s="336">
        <v>45716</v>
      </c>
      <c r="C185" s="43">
        <v>645600</v>
      </c>
      <c r="D185" s="44" t="s">
        <v>316</v>
      </c>
      <c r="E185" s="255"/>
      <c r="F185" s="255">
        <v>94.78</v>
      </c>
      <c r="G185" s="136">
        <f t="shared" si="14"/>
        <v>12566.329999999974</v>
      </c>
      <c r="H185" s="130" t="s">
        <v>246</v>
      </c>
      <c r="I185" s="328">
        <f t="shared" si="12"/>
        <v>-94.78</v>
      </c>
      <c r="J185" s="329"/>
      <c r="K185" s="329"/>
      <c r="L185" s="333">
        <v>45721</v>
      </c>
    </row>
    <row r="186" spans="1:17" ht="15" customHeight="1" x14ac:dyDescent="0.25">
      <c r="A186" s="335">
        <v>178</v>
      </c>
      <c r="B186" s="336">
        <v>45716</v>
      </c>
      <c r="C186" s="43">
        <v>645700</v>
      </c>
      <c r="D186" s="44" t="s">
        <v>350</v>
      </c>
      <c r="E186" s="255"/>
      <c r="F186" s="255">
        <v>48.27</v>
      </c>
      <c r="G186" s="136">
        <f t="shared" si="14"/>
        <v>12518.059999999974</v>
      </c>
      <c r="H186" s="130" t="s">
        <v>246</v>
      </c>
      <c r="I186" s="328">
        <f t="shared" si="12"/>
        <v>-48.27</v>
      </c>
      <c r="J186" s="329"/>
      <c r="K186" s="329"/>
      <c r="L186" s="333">
        <v>45721</v>
      </c>
      <c r="N186" s="323"/>
      <c r="O186" s="337"/>
      <c r="P186" s="323"/>
      <c r="Q186" s="337"/>
    </row>
    <row r="187" spans="1:17" ht="15" customHeight="1" x14ac:dyDescent="0.25">
      <c r="A187" s="335">
        <v>179</v>
      </c>
      <c r="B187" s="336">
        <v>45716</v>
      </c>
      <c r="C187" s="43">
        <v>622610</v>
      </c>
      <c r="D187" s="44" t="s">
        <v>351</v>
      </c>
      <c r="E187" s="255"/>
      <c r="F187" s="255">
        <v>105</v>
      </c>
      <c r="G187" s="136">
        <f t="shared" si="14"/>
        <v>12413.059999999974</v>
      </c>
      <c r="H187" s="130" t="s">
        <v>246</v>
      </c>
      <c r="I187" s="328">
        <f t="shared" si="12"/>
        <v>-105</v>
      </c>
      <c r="J187" s="329"/>
      <c r="K187" s="329"/>
      <c r="L187" s="333">
        <v>45721</v>
      </c>
      <c r="N187" s="327" t="s">
        <v>322</v>
      </c>
      <c r="O187" s="329">
        <v>996.33</v>
      </c>
      <c r="P187" s="327" t="s">
        <v>323</v>
      </c>
      <c r="Q187" s="329">
        <v>29948.38</v>
      </c>
    </row>
    <row r="188" spans="1:17" ht="15" customHeight="1" x14ac:dyDescent="0.25">
      <c r="A188" s="335">
        <v>180</v>
      </c>
      <c r="B188" s="336">
        <v>45720</v>
      </c>
      <c r="C188" s="173">
        <v>756800</v>
      </c>
      <c r="D188" s="175" t="s">
        <v>242</v>
      </c>
      <c r="E188" s="255">
        <v>70</v>
      </c>
      <c r="F188" s="255"/>
      <c r="G188" s="136">
        <f t="shared" si="14"/>
        <v>12483.059999999974</v>
      </c>
      <c r="H188" s="130" t="s">
        <v>246</v>
      </c>
      <c r="I188" s="328">
        <f t="shared" si="12"/>
        <v>70</v>
      </c>
      <c r="J188" s="329"/>
      <c r="K188" s="329"/>
      <c r="L188" s="333">
        <v>45721</v>
      </c>
      <c r="N188" s="327" t="s">
        <v>324</v>
      </c>
      <c r="O188" s="329">
        <f>SUM(I7:I189)</f>
        <v>996.33000000000538</v>
      </c>
      <c r="P188" s="327" t="s">
        <v>324</v>
      </c>
      <c r="Q188" s="329">
        <f>SUM(J7:J189)</f>
        <v>29948.380000000012</v>
      </c>
    </row>
    <row r="189" spans="1:17" ht="15" customHeight="1" x14ac:dyDescent="0.25">
      <c r="A189" s="335">
        <v>181</v>
      </c>
      <c r="B189" s="336">
        <v>45721</v>
      </c>
      <c r="C189" s="43">
        <v>756800</v>
      </c>
      <c r="D189" s="44" t="s">
        <v>317</v>
      </c>
      <c r="E189" s="255">
        <v>67.5</v>
      </c>
      <c r="F189" s="255"/>
      <c r="G189" s="136">
        <f t="shared" si="14"/>
        <v>12550.559999999974</v>
      </c>
      <c r="H189" s="130" t="s">
        <v>246</v>
      </c>
      <c r="I189" s="328">
        <f t="shared" si="12"/>
        <v>67.5</v>
      </c>
      <c r="J189" s="329"/>
      <c r="K189" s="329"/>
      <c r="L189" s="333">
        <v>45721</v>
      </c>
      <c r="N189" s="327" t="s">
        <v>247</v>
      </c>
      <c r="O189" s="329">
        <f>O187-O188</f>
        <v>-5.3432813729159534E-12</v>
      </c>
      <c r="P189" s="327" t="s">
        <v>247</v>
      </c>
      <c r="Q189" s="329">
        <f>Q187-Q188</f>
        <v>0</v>
      </c>
    </row>
    <row r="190" spans="1:17" ht="15" customHeight="1" x14ac:dyDescent="0.25">
      <c r="A190" s="335">
        <v>182</v>
      </c>
      <c r="B190" s="336">
        <v>45726</v>
      </c>
      <c r="C190" s="43">
        <v>606800</v>
      </c>
      <c r="D190" s="44" t="s">
        <v>318</v>
      </c>
      <c r="E190" s="255"/>
      <c r="F190" s="255">
        <v>7.9</v>
      </c>
      <c r="G190" s="136">
        <f t="shared" si="14"/>
        <v>12542.659999999974</v>
      </c>
      <c r="H190" s="130"/>
      <c r="I190" s="328">
        <v>0</v>
      </c>
      <c r="J190" s="329"/>
      <c r="K190" s="329">
        <v>-7.9</v>
      </c>
      <c r="L190" s="333"/>
    </row>
    <row r="191" spans="1:17" ht="15" customHeight="1" x14ac:dyDescent="0.25">
      <c r="A191" s="335">
        <v>183</v>
      </c>
      <c r="B191" s="336">
        <v>45734</v>
      </c>
      <c r="C191" s="43" t="s">
        <v>229</v>
      </c>
      <c r="D191" s="44" t="s">
        <v>321</v>
      </c>
      <c r="E191" s="255"/>
      <c r="F191" s="255"/>
      <c r="G191" s="136">
        <f t="shared" si="14"/>
        <v>12542.659999999974</v>
      </c>
      <c r="H191" s="130" t="s">
        <v>246</v>
      </c>
      <c r="I191" s="328">
        <v>2500</v>
      </c>
      <c r="J191" s="329">
        <v>-2500</v>
      </c>
      <c r="K191" s="329"/>
      <c r="L191" s="333">
        <v>45754</v>
      </c>
    </row>
    <row r="192" spans="1:17" ht="15" customHeight="1" x14ac:dyDescent="0.25">
      <c r="A192" s="335">
        <v>184</v>
      </c>
      <c r="B192" s="336">
        <v>45737</v>
      </c>
      <c r="C192" s="43">
        <v>626200</v>
      </c>
      <c r="D192" s="44" t="s">
        <v>233</v>
      </c>
      <c r="E192" s="255"/>
      <c r="F192" s="255">
        <v>9.99</v>
      </c>
      <c r="G192" s="136">
        <f t="shared" si="14"/>
        <v>12532.669999999975</v>
      </c>
      <c r="H192" s="130" t="s">
        <v>246</v>
      </c>
      <c r="I192" s="328">
        <f t="shared" si="12"/>
        <v>-9.99</v>
      </c>
      <c r="J192" s="329"/>
      <c r="K192" s="329"/>
      <c r="L192" s="333"/>
    </row>
    <row r="193" spans="1:17" ht="15" customHeight="1" x14ac:dyDescent="0.25">
      <c r="A193" s="335">
        <v>185</v>
      </c>
      <c r="B193" s="336">
        <v>45737</v>
      </c>
      <c r="C193" s="43">
        <v>622640</v>
      </c>
      <c r="D193" s="44" t="s">
        <v>245</v>
      </c>
      <c r="E193" s="255"/>
      <c r="F193" s="255">
        <v>52.5</v>
      </c>
      <c r="G193" s="136">
        <f t="shared" si="14"/>
        <v>12480.169999999975</v>
      </c>
      <c r="H193" s="130" t="s">
        <v>246</v>
      </c>
      <c r="I193" s="328">
        <f t="shared" si="12"/>
        <v>-52.5</v>
      </c>
      <c r="J193" s="329"/>
      <c r="K193" s="329"/>
      <c r="L193" s="333">
        <v>45754</v>
      </c>
    </row>
    <row r="194" spans="1:17" ht="15" customHeight="1" x14ac:dyDescent="0.25">
      <c r="A194" s="335">
        <v>186</v>
      </c>
      <c r="B194" s="336">
        <v>45741</v>
      </c>
      <c r="C194" s="173">
        <v>756800</v>
      </c>
      <c r="D194" s="175" t="s">
        <v>242</v>
      </c>
      <c r="E194" s="255">
        <v>130</v>
      </c>
      <c r="F194" s="255"/>
      <c r="G194" s="136">
        <f t="shared" si="14"/>
        <v>12610.169999999975</v>
      </c>
      <c r="H194" s="130" t="s">
        <v>246</v>
      </c>
      <c r="I194" s="328">
        <f t="shared" si="12"/>
        <v>130</v>
      </c>
      <c r="J194" s="329"/>
      <c r="K194" s="329"/>
      <c r="L194" s="333">
        <v>45754</v>
      </c>
    </row>
    <row r="195" spans="1:17" ht="15" customHeight="1" x14ac:dyDescent="0.25">
      <c r="A195" s="335">
        <v>187</v>
      </c>
      <c r="B195" s="336">
        <v>45741</v>
      </c>
      <c r="C195" s="173">
        <v>756800</v>
      </c>
      <c r="D195" s="175" t="s">
        <v>319</v>
      </c>
      <c r="E195" s="255">
        <v>5</v>
      </c>
      <c r="F195" s="255"/>
      <c r="G195" s="136">
        <f t="shared" si="14"/>
        <v>12615.169999999975</v>
      </c>
      <c r="H195" s="130"/>
      <c r="I195" s="328">
        <v>0</v>
      </c>
      <c r="J195" s="329"/>
      <c r="K195" s="329">
        <v>5</v>
      </c>
      <c r="L195" s="333"/>
    </row>
    <row r="196" spans="1:17" ht="15" customHeight="1" x14ac:dyDescent="0.25">
      <c r="A196" s="335">
        <v>188</v>
      </c>
      <c r="B196" s="336">
        <v>45744</v>
      </c>
      <c r="C196" s="43">
        <v>622640</v>
      </c>
      <c r="D196" s="44" t="s">
        <v>408</v>
      </c>
      <c r="E196" s="255"/>
      <c r="F196" s="255">
        <v>240</v>
      </c>
      <c r="G196" s="136">
        <f t="shared" si="14"/>
        <v>12375.169999999975</v>
      </c>
      <c r="H196" s="130" t="s">
        <v>246</v>
      </c>
      <c r="I196" s="328">
        <f t="shared" si="12"/>
        <v>-240</v>
      </c>
      <c r="J196" s="329"/>
      <c r="K196" s="329"/>
      <c r="L196" s="333">
        <v>45754</v>
      </c>
    </row>
    <row r="197" spans="1:17" ht="15" customHeight="1" x14ac:dyDescent="0.25">
      <c r="A197" s="335">
        <v>189</v>
      </c>
      <c r="B197" s="336">
        <v>45746</v>
      </c>
      <c r="C197" s="43">
        <v>641200</v>
      </c>
      <c r="D197" s="44" t="s">
        <v>336</v>
      </c>
      <c r="E197" s="255"/>
      <c r="F197" s="255">
        <v>492.94</v>
      </c>
      <c r="G197" s="136">
        <f t="shared" si="14"/>
        <v>11882.229999999974</v>
      </c>
      <c r="H197" s="130" t="s">
        <v>246</v>
      </c>
      <c r="I197" s="328">
        <f t="shared" si="12"/>
        <v>-492.94</v>
      </c>
      <c r="J197" s="329"/>
      <c r="K197" s="329"/>
      <c r="L197" s="333">
        <v>45754</v>
      </c>
    </row>
    <row r="198" spans="1:17" ht="15" customHeight="1" x14ac:dyDescent="0.25">
      <c r="A198" s="335">
        <v>190</v>
      </c>
      <c r="B198" s="336">
        <v>45746</v>
      </c>
      <c r="C198" s="43">
        <v>641200</v>
      </c>
      <c r="D198" s="44" t="s">
        <v>337</v>
      </c>
      <c r="E198" s="255"/>
      <c r="F198" s="255">
        <v>151.66999999999999</v>
      </c>
      <c r="G198" s="136">
        <f t="shared" si="14"/>
        <v>11730.559999999974</v>
      </c>
      <c r="H198" s="130" t="s">
        <v>246</v>
      </c>
      <c r="I198" s="328">
        <f t="shared" si="12"/>
        <v>-151.66999999999999</v>
      </c>
      <c r="J198" s="329"/>
      <c r="K198" s="329"/>
      <c r="L198" s="333">
        <v>45754</v>
      </c>
      <c r="N198" s="323"/>
      <c r="O198" s="337"/>
      <c r="P198" s="323"/>
      <c r="Q198" s="337"/>
    </row>
    <row r="199" spans="1:17" ht="15" customHeight="1" x14ac:dyDescent="0.25">
      <c r="A199" s="335">
        <v>191</v>
      </c>
      <c r="B199" s="336">
        <v>45746</v>
      </c>
      <c r="C199" s="43">
        <v>641200</v>
      </c>
      <c r="D199" s="44" t="s">
        <v>338</v>
      </c>
      <c r="E199" s="255"/>
      <c r="F199" s="255">
        <v>123.23</v>
      </c>
      <c r="G199" s="136">
        <f t="shared" si="14"/>
        <v>11607.329999999974</v>
      </c>
      <c r="H199" s="130" t="s">
        <v>246</v>
      </c>
      <c r="I199" s="328">
        <f t="shared" si="12"/>
        <v>-123.23</v>
      </c>
      <c r="J199" s="329"/>
      <c r="K199" s="329"/>
      <c r="L199" s="333">
        <v>45754</v>
      </c>
      <c r="N199" s="323"/>
      <c r="O199" s="337"/>
      <c r="P199" s="323"/>
      <c r="Q199" s="337"/>
    </row>
    <row r="200" spans="1:17" ht="15" customHeight="1" x14ac:dyDescent="0.25">
      <c r="A200" s="335">
        <v>192</v>
      </c>
      <c r="B200" s="336">
        <v>45746</v>
      </c>
      <c r="C200" s="43">
        <v>641200</v>
      </c>
      <c r="D200" s="44" t="s">
        <v>339</v>
      </c>
      <c r="E200" s="255"/>
      <c r="F200" s="255">
        <v>226.26</v>
      </c>
      <c r="G200" s="136">
        <f t="shared" si="14"/>
        <v>11381.069999999974</v>
      </c>
      <c r="H200" s="130" t="s">
        <v>246</v>
      </c>
      <c r="I200" s="328">
        <f t="shared" si="12"/>
        <v>-226.26</v>
      </c>
      <c r="J200" s="329"/>
      <c r="K200" s="329"/>
      <c r="L200" s="333">
        <v>45754</v>
      </c>
      <c r="N200" s="323"/>
      <c r="O200" s="337"/>
      <c r="P200" s="323"/>
      <c r="Q200" s="337"/>
    </row>
    <row r="201" spans="1:17" ht="15" customHeight="1" x14ac:dyDescent="0.25">
      <c r="A201" s="335">
        <v>193</v>
      </c>
      <c r="B201" s="336">
        <v>45746</v>
      </c>
      <c r="C201" s="43">
        <v>641200</v>
      </c>
      <c r="D201" s="44" t="s">
        <v>340</v>
      </c>
      <c r="E201" s="255"/>
      <c r="F201" s="255">
        <v>105.78</v>
      </c>
      <c r="G201" s="136">
        <f t="shared" si="14"/>
        <v>11275.289999999974</v>
      </c>
      <c r="H201" s="130" t="s">
        <v>246</v>
      </c>
      <c r="I201" s="328">
        <f t="shared" ref="I201:I264" si="15">E201-F201</f>
        <v>-105.78</v>
      </c>
      <c r="J201" s="329"/>
      <c r="K201" s="329"/>
      <c r="L201" s="333">
        <v>45754</v>
      </c>
    </row>
    <row r="202" spans="1:17" ht="15" customHeight="1" x14ac:dyDescent="0.25">
      <c r="A202" s="335">
        <v>194</v>
      </c>
      <c r="B202" s="336">
        <v>45748</v>
      </c>
      <c r="C202" s="43">
        <v>645800</v>
      </c>
      <c r="D202" s="44" t="s">
        <v>341</v>
      </c>
      <c r="E202" s="255"/>
      <c r="F202" s="255">
        <v>426.39</v>
      </c>
      <c r="G202" s="136">
        <f t="shared" si="14"/>
        <v>10848.899999999974</v>
      </c>
      <c r="H202" s="130" t="s">
        <v>246</v>
      </c>
      <c r="I202" s="328">
        <f t="shared" si="15"/>
        <v>-426.39</v>
      </c>
      <c r="J202" s="329"/>
      <c r="K202" s="329"/>
      <c r="L202" s="333">
        <v>45754</v>
      </c>
    </row>
    <row r="203" spans="1:17" ht="15" customHeight="1" x14ac:dyDescent="0.25">
      <c r="A203" s="335">
        <v>195</v>
      </c>
      <c r="B203" s="336">
        <v>45748</v>
      </c>
      <c r="C203" s="43">
        <v>645700</v>
      </c>
      <c r="D203" s="44" t="s">
        <v>342</v>
      </c>
      <c r="E203" s="255"/>
      <c r="F203" s="255">
        <v>28.22</v>
      </c>
      <c r="G203" s="136">
        <f t="shared" si="14"/>
        <v>10820.679999999975</v>
      </c>
      <c r="H203" s="130" t="s">
        <v>246</v>
      </c>
      <c r="I203" s="328">
        <f t="shared" si="15"/>
        <v>-28.22</v>
      </c>
      <c r="J203" s="329"/>
      <c r="K203" s="329"/>
      <c r="L203" s="333">
        <v>45754</v>
      </c>
      <c r="N203" s="327" t="s">
        <v>325</v>
      </c>
      <c r="O203" s="329">
        <v>6664.35</v>
      </c>
      <c r="P203" s="327" t="s">
        <v>327</v>
      </c>
      <c r="Q203" s="329">
        <v>27448.38</v>
      </c>
    </row>
    <row r="204" spans="1:17" ht="15" customHeight="1" x14ac:dyDescent="0.25">
      <c r="A204" s="335">
        <v>196</v>
      </c>
      <c r="B204" s="336">
        <v>45748</v>
      </c>
      <c r="C204" s="43">
        <v>622610</v>
      </c>
      <c r="D204" s="44" t="s">
        <v>343</v>
      </c>
      <c r="E204" s="255"/>
      <c r="F204" s="255">
        <v>105</v>
      </c>
      <c r="G204" s="136">
        <f t="shared" si="14"/>
        <v>10715.679999999975</v>
      </c>
      <c r="H204" s="130" t="s">
        <v>246</v>
      </c>
      <c r="I204" s="328">
        <f t="shared" si="15"/>
        <v>-105</v>
      </c>
      <c r="J204" s="329"/>
      <c r="K204" s="329"/>
      <c r="L204" s="333">
        <v>45754</v>
      </c>
      <c r="N204" s="327" t="s">
        <v>326</v>
      </c>
      <c r="O204" s="329">
        <f>SUM(I7:I205)</f>
        <v>6664.3500000000049</v>
      </c>
      <c r="P204" s="327" t="s">
        <v>326</v>
      </c>
      <c r="Q204" s="329">
        <f>SUM(J7:J205)</f>
        <v>27448.380000000012</v>
      </c>
    </row>
    <row r="205" spans="1:17" ht="15" customHeight="1" x14ac:dyDescent="0.25">
      <c r="A205" s="335">
        <v>197</v>
      </c>
      <c r="B205" s="336">
        <v>45751</v>
      </c>
      <c r="C205" s="173">
        <v>740900</v>
      </c>
      <c r="D205" s="175" t="s">
        <v>320</v>
      </c>
      <c r="E205" s="255">
        <v>5000</v>
      </c>
      <c r="F205" s="255"/>
      <c r="G205" s="136">
        <f>+G204+E205-F205</f>
        <v>15715.679999999975</v>
      </c>
      <c r="H205" s="130" t="s">
        <v>246</v>
      </c>
      <c r="I205" s="328">
        <f t="shared" si="15"/>
        <v>5000</v>
      </c>
      <c r="J205" s="329"/>
      <c r="K205" s="329"/>
      <c r="L205" s="333">
        <v>45754</v>
      </c>
      <c r="N205" s="327" t="s">
        <v>247</v>
      </c>
      <c r="O205" s="329">
        <f>O203-O204</f>
        <v>0</v>
      </c>
      <c r="P205" s="327" t="s">
        <v>247</v>
      </c>
      <c r="Q205" s="329">
        <f>Q203-Q204</f>
        <v>0</v>
      </c>
    </row>
    <row r="206" spans="1:17" ht="15" customHeight="1" x14ac:dyDescent="0.25">
      <c r="A206" s="335">
        <v>198</v>
      </c>
      <c r="B206" s="336">
        <v>45772</v>
      </c>
      <c r="C206" s="43">
        <v>626200</v>
      </c>
      <c r="D206" s="44" t="s">
        <v>233</v>
      </c>
      <c r="E206" s="255"/>
      <c r="F206" s="255">
        <v>9.99</v>
      </c>
      <c r="G206" s="136">
        <f>+G205+E206-F206</f>
        <v>15705.689999999975</v>
      </c>
      <c r="H206" s="130" t="s">
        <v>246</v>
      </c>
      <c r="I206" s="328">
        <f t="shared" si="15"/>
        <v>-9.99</v>
      </c>
      <c r="J206" s="329"/>
      <c r="K206" s="329"/>
      <c r="L206" s="333">
        <v>45782</v>
      </c>
    </row>
    <row r="207" spans="1:17" ht="15" customHeight="1" x14ac:dyDescent="0.25">
      <c r="A207" s="335">
        <v>199</v>
      </c>
      <c r="B207" s="336">
        <v>45777</v>
      </c>
      <c r="C207" s="43">
        <v>641200</v>
      </c>
      <c r="D207" s="44" t="s">
        <v>328</v>
      </c>
      <c r="E207" s="255"/>
      <c r="F207" s="255">
        <v>492.94</v>
      </c>
      <c r="G207" s="136">
        <f>+G206+E207-F207</f>
        <v>15212.749999999975</v>
      </c>
      <c r="H207" s="130" t="s">
        <v>246</v>
      </c>
      <c r="I207" s="328">
        <f t="shared" si="15"/>
        <v>-492.94</v>
      </c>
      <c r="J207" s="329"/>
      <c r="K207" s="329"/>
      <c r="L207" s="333">
        <v>45782</v>
      </c>
    </row>
    <row r="208" spans="1:17" ht="15" customHeight="1" x14ac:dyDescent="0.25">
      <c r="A208" s="335">
        <v>200</v>
      </c>
      <c r="B208" s="336">
        <v>45777</v>
      </c>
      <c r="C208" s="43">
        <v>641200</v>
      </c>
      <c r="D208" s="44" t="s">
        <v>329</v>
      </c>
      <c r="E208" s="255"/>
      <c r="F208" s="255">
        <v>288.68</v>
      </c>
      <c r="G208" s="136">
        <f>+G207+E208-F208</f>
        <v>14924.069999999974</v>
      </c>
      <c r="H208" s="130" t="s">
        <v>246</v>
      </c>
      <c r="I208" s="328">
        <f t="shared" si="15"/>
        <v>-288.68</v>
      </c>
      <c r="J208" s="329"/>
      <c r="K208" s="329"/>
      <c r="L208" s="333">
        <v>45782</v>
      </c>
    </row>
    <row r="209" spans="1:17" ht="15" customHeight="1" x14ac:dyDescent="0.25">
      <c r="A209" s="335">
        <v>201</v>
      </c>
      <c r="B209" s="336">
        <v>45777</v>
      </c>
      <c r="C209" s="43">
        <v>641200</v>
      </c>
      <c r="D209" s="44" t="s">
        <v>330</v>
      </c>
      <c r="E209" s="255"/>
      <c r="F209" s="255">
        <v>174.36</v>
      </c>
      <c r="G209" s="136">
        <f t="shared" ref="G209:G272" si="16">+G208+E209-F209</f>
        <v>14749.709999999974</v>
      </c>
      <c r="H209" s="130" t="s">
        <v>246</v>
      </c>
      <c r="I209" s="328">
        <f t="shared" si="15"/>
        <v>-174.36</v>
      </c>
      <c r="J209" s="329"/>
      <c r="K209" s="329"/>
      <c r="L209" s="333">
        <v>45782</v>
      </c>
    </row>
    <row r="210" spans="1:17" ht="15" customHeight="1" x14ac:dyDescent="0.25">
      <c r="A210" s="335">
        <v>202</v>
      </c>
      <c r="B210" s="336">
        <v>45777</v>
      </c>
      <c r="C210" s="43">
        <v>641200</v>
      </c>
      <c r="D210" s="44" t="s">
        <v>331</v>
      </c>
      <c r="E210" s="255"/>
      <c r="F210" s="255">
        <v>503.39</v>
      </c>
      <c r="G210" s="136">
        <f t="shared" si="16"/>
        <v>14246.319999999974</v>
      </c>
      <c r="H210" s="130" t="s">
        <v>246</v>
      </c>
      <c r="I210" s="328">
        <f t="shared" si="15"/>
        <v>-503.39</v>
      </c>
      <c r="J210" s="329"/>
      <c r="K210" s="329"/>
      <c r="L210" s="333">
        <v>45782</v>
      </c>
      <c r="N210" s="323"/>
      <c r="O210" s="337"/>
      <c r="P210" s="323"/>
      <c r="Q210" s="337"/>
    </row>
    <row r="211" spans="1:17" ht="15" customHeight="1" x14ac:dyDescent="0.25">
      <c r="A211" s="335">
        <v>203</v>
      </c>
      <c r="B211" s="336">
        <v>45777</v>
      </c>
      <c r="C211" s="43">
        <v>641200</v>
      </c>
      <c r="D211" s="44" t="s">
        <v>332</v>
      </c>
      <c r="E211" s="255"/>
      <c r="F211" s="255">
        <v>272.45999999999998</v>
      </c>
      <c r="G211" s="136">
        <f t="shared" si="16"/>
        <v>13973.859999999975</v>
      </c>
      <c r="H211" s="130" t="s">
        <v>246</v>
      </c>
      <c r="I211" s="328">
        <f t="shared" si="15"/>
        <v>-272.45999999999998</v>
      </c>
      <c r="J211" s="329"/>
      <c r="K211" s="329"/>
      <c r="L211" s="333">
        <v>45782</v>
      </c>
      <c r="N211" s="323"/>
      <c r="O211" s="337"/>
      <c r="P211" s="323"/>
      <c r="Q211" s="337"/>
    </row>
    <row r="212" spans="1:17" ht="15" customHeight="1" x14ac:dyDescent="0.25">
      <c r="A212" s="335">
        <v>204</v>
      </c>
      <c r="B212" s="336">
        <v>45777</v>
      </c>
      <c r="C212" s="43">
        <v>645800</v>
      </c>
      <c r="D212" s="44" t="s">
        <v>333</v>
      </c>
      <c r="E212" s="255"/>
      <c r="F212" s="255">
        <v>695.48</v>
      </c>
      <c r="G212" s="136">
        <f t="shared" si="16"/>
        <v>13278.379999999976</v>
      </c>
      <c r="H212" s="130" t="s">
        <v>246</v>
      </c>
      <c r="I212" s="328">
        <f t="shared" si="15"/>
        <v>-695.48</v>
      </c>
      <c r="J212" s="329"/>
      <c r="K212" s="329"/>
      <c r="L212" s="333">
        <v>45782</v>
      </c>
      <c r="N212" s="323"/>
      <c r="O212" s="337"/>
      <c r="P212" s="323"/>
      <c r="Q212" s="337"/>
    </row>
    <row r="213" spans="1:17" ht="15" customHeight="1" x14ac:dyDescent="0.25">
      <c r="A213" s="335">
        <v>205</v>
      </c>
      <c r="B213" s="336">
        <v>45777</v>
      </c>
      <c r="C213" s="43">
        <v>645700</v>
      </c>
      <c r="D213" s="44" t="s">
        <v>334</v>
      </c>
      <c r="E213" s="255"/>
      <c r="F213" s="255">
        <v>56.61</v>
      </c>
      <c r="G213" s="136">
        <f t="shared" si="16"/>
        <v>13221.769999999975</v>
      </c>
      <c r="H213" s="130" t="s">
        <v>246</v>
      </c>
      <c r="I213" s="328">
        <f t="shared" si="15"/>
        <v>-56.61</v>
      </c>
      <c r="J213" s="329"/>
      <c r="K213" s="329"/>
      <c r="L213" s="333">
        <v>45782</v>
      </c>
    </row>
    <row r="214" spans="1:17" ht="15" customHeight="1" x14ac:dyDescent="0.25">
      <c r="A214" s="335">
        <v>206</v>
      </c>
      <c r="B214" s="336">
        <v>45777</v>
      </c>
      <c r="C214" s="43">
        <v>622610</v>
      </c>
      <c r="D214" s="44" t="s">
        <v>335</v>
      </c>
      <c r="E214" s="255"/>
      <c r="F214" s="255">
        <v>105</v>
      </c>
      <c r="G214" s="136">
        <f t="shared" si="16"/>
        <v>13116.769999999975</v>
      </c>
      <c r="H214" s="130" t="s">
        <v>246</v>
      </c>
      <c r="I214" s="328">
        <f t="shared" si="15"/>
        <v>-105</v>
      </c>
      <c r="J214" s="329"/>
      <c r="K214" s="329"/>
      <c r="L214" s="333">
        <v>45782</v>
      </c>
      <c r="N214" s="327" t="s">
        <v>362</v>
      </c>
      <c r="O214" s="329">
        <v>3395.45</v>
      </c>
      <c r="P214" s="327" t="s">
        <v>364</v>
      </c>
      <c r="Q214" s="329">
        <v>27448.38</v>
      </c>
    </row>
    <row r="215" spans="1:17" ht="15" customHeight="1" x14ac:dyDescent="0.25">
      <c r="A215" s="335">
        <v>207</v>
      </c>
      <c r="B215" s="336">
        <v>45778</v>
      </c>
      <c r="C215" s="43">
        <v>622640</v>
      </c>
      <c r="D215" s="44" t="s">
        <v>360</v>
      </c>
      <c r="E215" s="255"/>
      <c r="F215" s="255">
        <v>480</v>
      </c>
      <c r="G215" s="136">
        <f t="shared" si="16"/>
        <v>12636.769999999975</v>
      </c>
      <c r="H215" s="130" t="s">
        <v>246</v>
      </c>
      <c r="I215" s="328">
        <f t="shared" si="15"/>
        <v>-480</v>
      </c>
      <c r="J215" s="329"/>
      <c r="K215" s="329"/>
      <c r="L215" s="333">
        <v>45782</v>
      </c>
      <c r="N215" s="327" t="s">
        <v>363</v>
      </c>
      <c r="O215" s="329">
        <f>SUM(I7:I216)</f>
        <v>3395.4500000000053</v>
      </c>
      <c r="P215" s="327" t="s">
        <v>363</v>
      </c>
      <c r="Q215" s="329">
        <f>SUM(J7:J216)</f>
        <v>27448.380000000012</v>
      </c>
    </row>
    <row r="216" spans="1:17" ht="15" customHeight="1" x14ac:dyDescent="0.25">
      <c r="A216" s="335">
        <v>208</v>
      </c>
      <c r="B216" s="336">
        <v>45778</v>
      </c>
      <c r="C216" s="43">
        <v>605100</v>
      </c>
      <c r="D216" s="44" t="s">
        <v>361</v>
      </c>
      <c r="E216" s="255"/>
      <c r="F216" s="255">
        <v>189.99</v>
      </c>
      <c r="G216" s="136">
        <f t="shared" si="16"/>
        <v>12446.779999999975</v>
      </c>
      <c r="H216" s="130" t="s">
        <v>246</v>
      </c>
      <c r="I216" s="328">
        <f t="shared" si="15"/>
        <v>-189.99</v>
      </c>
      <c r="J216" s="329"/>
      <c r="K216" s="329"/>
      <c r="L216" s="333">
        <v>45782</v>
      </c>
      <c r="N216" s="327" t="s">
        <v>247</v>
      </c>
      <c r="O216" s="329">
        <f>O214-O215</f>
        <v>-5.4569682106375694E-12</v>
      </c>
      <c r="P216" s="327" t="s">
        <v>247</v>
      </c>
      <c r="Q216" s="329">
        <f>Q214-Q215</f>
        <v>0</v>
      </c>
    </row>
    <row r="217" spans="1:17" ht="15" customHeight="1" x14ac:dyDescent="0.25">
      <c r="A217" s="335">
        <v>209</v>
      </c>
      <c r="B217" s="336">
        <v>45789</v>
      </c>
      <c r="C217" s="43">
        <v>627800</v>
      </c>
      <c r="D217" s="44" t="s">
        <v>365</v>
      </c>
      <c r="E217" s="255"/>
      <c r="F217" s="255">
        <v>9</v>
      </c>
      <c r="G217" s="136">
        <f t="shared" si="16"/>
        <v>12437.779999999975</v>
      </c>
      <c r="H217" s="130" t="s">
        <v>246</v>
      </c>
      <c r="I217" s="328">
        <f t="shared" si="15"/>
        <v>-9</v>
      </c>
      <c r="J217" s="329"/>
      <c r="K217" s="329"/>
      <c r="L217" s="333">
        <v>45813</v>
      </c>
    </row>
    <row r="218" spans="1:17" ht="15" customHeight="1" x14ac:dyDescent="0.25">
      <c r="A218" s="335">
        <v>210</v>
      </c>
      <c r="B218" s="336">
        <v>45795</v>
      </c>
      <c r="C218" s="43" t="s">
        <v>229</v>
      </c>
      <c r="D218" s="44" t="s">
        <v>290</v>
      </c>
      <c r="E218" s="255"/>
      <c r="F218" s="255"/>
      <c r="G218" s="136">
        <f t="shared" si="16"/>
        <v>12437.779999999975</v>
      </c>
      <c r="H218" s="130" t="s">
        <v>246</v>
      </c>
      <c r="I218" s="328">
        <v>1000</v>
      </c>
      <c r="J218" s="329">
        <v>-1000</v>
      </c>
      <c r="K218" s="329"/>
      <c r="L218" s="333">
        <v>45813</v>
      </c>
    </row>
    <row r="219" spans="1:17" ht="15" customHeight="1" x14ac:dyDescent="0.25">
      <c r="A219" s="335">
        <v>211</v>
      </c>
      <c r="B219" s="336">
        <v>45803</v>
      </c>
      <c r="C219" s="43">
        <v>626200</v>
      </c>
      <c r="D219" s="44" t="s">
        <v>233</v>
      </c>
      <c r="E219" s="255"/>
      <c r="F219" s="255">
        <v>9.99</v>
      </c>
      <c r="G219" s="136">
        <f t="shared" si="16"/>
        <v>12427.789999999975</v>
      </c>
      <c r="H219" s="130" t="s">
        <v>246</v>
      </c>
      <c r="I219" s="328">
        <f t="shared" si="15"/>
        <v>-9.99</v>
      </c>
      <c r="J219" s="329"/>
      <c r="K219" s="329"/>
      <c r="L219" s="333">
        <v>45813</v>
      </c>
    </row>
    <row r="220" spans="1:17" ht="15" customHeight="1" x14ac:dyDescent="0.25">
      <c r="A220" s="335">
        <v>212</v>
      </c>
      <c r="B220" s="336">
        <v>45806</v>
      </c>
      <c r="C220" s="43">
        <v>622640</v>
      </c>
      <c r="D220" s="44" t="s">
        <v>409</v>
      </c>
      <c r="E220" s="255"/>
      <c r="F220" s="255">
        <v>240</v>
      </c>
      <c r="G220" s="136">
        <f t="shared" si="16"/>
        <v>12187.789999999975</v>
      </c>
      <c r="H220" s="130" t="s">
        <v>246</v>
      </c>
      <c r="I220" s="328">
        <f t="shared" si="15"/>
        <v>-240</v>
      </c>
      <c r="J220" s="329"/>
      <c r="K220" s="329"/>
      <c r="L220" s="333">
        <v>45813</v>
      </c>
    </row>
    <row r="221" spans="1:17" ht="15" customHeight="1" x14ac:dyDescent="0.25">
      <c r="A221" s="335">
        <v>213</v>
      </c>
      <c r="B221" s="336">
        <v>45808</v>
      </c>
      <c r="C221" s="43">
        <v>641200</v>
      </c>
      <c r="D221" s="44" t="s">
        <v>366</v>
      </c>
      <c r="E221" s="255"/>
      <c r="F221" s="255">
        <v>475.26</v>
      </c>
      <c r="G221" s="136">
        <f t="shared" si="16"/>
        <v>11712.529999999975</v>
      </c>
      <c r="H221" s="130" t="s">
        <v>246</v>
      </c>
      <c r="I221" s="328">
        <f t="shared" si="15"/>
        <v>-475.26</v>
      </c>
      <c r="J221" s="329"/>
      <c r="K221" s="329"/>
      <c r="L221" s="333">
        <v>45813</v>
      </c>
    </row>
    <row r="222" spans="1:17" ht="15" customHeight="1" x14ac:dyDescent="0.25">
      <c r="A222" s="335">
        <v>214</v>
      </c>
      <c r="B222" s="336">
        <v>45808</v>
      </c>
      <c r="C222" s="43">
        <v>641200</v>
      </c>
      <c r="D222" s="44" t="s">
        <v>367</v>
      </c>
      <c r="E222" s="255"/>
      <c r="F222" s="255">
        <v>227</v>
      </c>
      <c r="G222" s="136">
        <f t="shared" si="16"/>
        <v>11485.529999999975</v>
      </c>
      <c r="H222" s="130" t="s">
        <v>246</v>
      </c>
      <c r="I222" s="328">
        <f t="shared" si="15"/>
        <v>-227</v>
      </c>
      <c r="J222" s="329"/>
      <c r="K222" s="329"/>
      <c r="L222" s="333">
        <v>45813</v>
      </c>
    </row>
    <row r="223" spans="1:17" ht="15" customHeight="1" x14ac:dyDescent="0.25">
      <c r="A223" s="335">
        <v>215</v>
      </c>
      <c r="B223" s="336">
        <v>45808</v>
      </c>
      <c r="C223" s="43">
        <v>641200</v>
      </c>
      <c r="D223" s="44" t="s">
        <v>368</v>
      </c>
      <c r="E223" s="255"/>
      <c r="F223" s="255">
        <v>123.23</v>
      </c>
      <c r="G223" s="136">
        <f t="shared" si="16"/>
        <v>11362.299999999976</v>
      </c>
      <c r="H223" s="130" t="s">
        <v>246</v>
      </c>
      <c r="I223" s="328">
        <f t="shared" si="15"/>
        <v>-123.23</v>
      </c>
      <c r="J223" s="329"/>
      <c r="K223" s="329"/>
      <c r="L223" s="333">
        <v>45813</v>
      </c>
      <c r="N223" s="323"/>
      <c r="O223" s="337"/>
      <c r="P223" s="323"/>
      <c r="Q223" s="337"/>
    </row>
    <row r="224" spans="1:17" ht="15" customHeight="1" x14ac:dyDescent="0.25">
      <c r="A224" s="335">
        <v>216</v>
      </c>
      <c r="B224" s="336">
        <v>45808</v>
      </c>
      <c r="C224" s="43">
        <v>641200</v>
      </c>
      <c r="D224" s="44" t="s">
        <v>369</v>
      </c>
      <c r="E224" s="255"/>
      <c r="F224" s="255">
        <v>375.23</v>
      </c>
      <c r="G224" s="136">
        <f t="shared" si="16"/>
        <v>10987.069999999976</v>
      </c>
      <c r="H224" s="130" t="s">
        <v>246</v>
      </c>
      <c r="I224" s="328">
        <f t="shared" si="15"/>
        <v>-375.23</v>
      </c>
      <c r="J224" s="329"/>
      <c r="K224" s="329"/>
      <c r="L224" s="333">
        <v>45813</v>
      </c>
      <c r="N224" s="323"/>
      <c r="O224" s="337"/>
      <c r="P224" s="323"/>
      <c r="Q224" s="337"/>
    </row>
    <row r="225" spans="1:17" ht="15" customHeight="1" x14ac:dyDescent="0.25">
      <c r="A225" s="335">
        <v>217</v>
      </c>
      <c r="B225" s="336">
        <v>45808</v>
      </c>
      <c r="C225" s="43">
        <v>641200</v>
      </c>
      <c r="D225" s="44" t="s">
        <v>370</v>
      </c>
      <c r="E225" s="255"/>
      <c r="F225" s="255">
        <v>230.62</v>
      </c>
      <c r="G225" s="136">
        <f t="shared" si="16"/>
        <v>10756.449999999975</v>
      </c>
      <c r="H225" s="130" t="s">
        <v>246</v>
      </c>
      <c r="I225" s="328">
        <f t="shared" si="15"/>
        <v>-230.62</v>
      </c>
      <c r="J225" s="329"/>
      <c r="K225" s="329"/>
      <c r="L225" s="333">
        <v>45813</v>
      </c>
      <c r="N225" s="323"/>
      <c r="O225" s="337"/>
      <c r="P225" s="323"/>
      <c r="Q225" s="337"/>
    </row>
    <row r="226" spans="1:17" ht="15" customHeight="1" x14ac:dyDescent="0.25">
      <c r="A226" s="335">
        <v>218</v>
      </c>
      <c r="B226" s="336">
        <v>45808</v>
      </c>
      <c r="C226" s="43">
        <v>645800</v>
      </c>
      <c r="D226" s="44" t="s">
        <v>371</v>
      </c>
      <c r="E226" s="255"/>
      <c r="F226" s="255">
        <v>534.39</v>
      </c>
      <c r="G226" s="136">
        <f>+G225+E226-F226</f>
        <v>10222.059999999976</v>
      </c>
      <c r="H226" s="130" t="s">
        <v>246</v>
      </c>
      <c r="I226" s="328">
        <f t="shared" si="15"/>
        <v>-534.39</v>
      </c>
      <c r="J226" s="329"/>
      <c r="K226" s="329"/>
      <c r="L226" s="333">
        <v>45813</v>
      </c>
    </row>
    <row r="227" spans="1:17" ht="15" customHeight="1" x14ac:dyDescent="0.25">
      <c r="A227" s="335">
        <v>219</v>
      </c>
      <c r="B227" s="336">
        <v>45808</v>
      </c>
      <c r="C227" s="43">
        <v>645700</v>
      </c>
      <c r="D227" s="44" t="s">
        <v>372</v>
      </c>
      <c r="E227" s="255"/>
      <c r="F227" s="255">
        <v>44.24</v>
      </c>
      <c r="G227" s="136">
        <f>+G226+E227-F227</f>
        <v>10177.819999999976</v>
      </c>
      <c r="H227" s="130" t="s">
        <v>246</v>
      </c>
      <c r="I227" s="328">
        <f t="shared" si="15"/>
        <v>-44.24</v>
      </c>
      <c r="J227" s="329"/>
      <c r="K227" s="329"/>
      <c r="L227" s="333">
        <v>45813</v>
      </c>
      <c r="N227" s="327" t="s">
        <v>376</v>
      </c>
      <c r="O227" s="329">
        <v>1968.99</v>
      </c>
      <c r="P227" s="327" t="s">
        <v>377</v>
      </c>
      <c r="Q227" s="329">
        <v>26448.38</v>
      </c>
    </row>
    <row r="228" spans="1:17" ht="15" customHeight="1" x14ac:dyDescent="0.25">
      <c r="A228" s="335">
        <v>220</v>
      </c>
      <c r="B228" s="336">
        <v>45808</v>
      </c>
      <c r="C228" s="43">
        <v>622610</v>
      </c>
      <c r="D228" s="44" t="s">
        <v>373</v>
      </c>
      <c r="E228" s="255"/>
      <c r="F228" s="255">
        <v>105</v>
      </c>
      <c r="G228" s="136">
        <f>+G227+E228-F228</f>
        <v>10072.819999999976</v>
      </c>
      <c r="H228" s="130" t="s">
        <v>246</v>
      </c>
      <c r="I228" s="328">
        <f t="shared" si="15"/>
        <v>-105</v>
      </c>
      <c r="J228" s="329"/>
      <c r="K228" s="329"/>
      <c r="L228" s="333">
        <v>45813</v>
      </c>
      <c r="N228" s="327" t="s">
        <v>378</v>
      </c>
      <c r="O228" s="329">
        <f>SUM(I7:I229)</f>
        <v>1968.9900000000057</v>
      </c>
      <c r="P228" s="327" t="s">
        <v>378</v>
      </c>
      <c r="Q228" s="329">
        <f>SUM(J7:J229)</f>
        <v>26448.380000000012</v>
      </c>
    </row>
    <row r="229" spans="1:17" ht="15" customHeight="1" x14ac:dyDescent="0.25">
      <c r="A229" s="335">
        <v>221</v>
      </c>
      <c r="B229" s="336">
        <v>45811</v>
      </c>
      <c r="C229" s="43">
        <v>622640</v>
      </c>
      <c r="D229" s="44" t="s">
        <v>374</v>
      </c>
      <c r="E229" s="255"/>
      <c r="F229" s="255">
        <v>52.5</v>
      </c>
      <c r="G229" s="136">
        <f t="shared" si="16"/>
        <v>10020.319999999976</v>
      </c>
      <c r="H229" s="130" t="s">
        <v>246</v>
      </c>
      <c r="I229" s="328">
        <f t="shared" si="15"/>
        <v>-52.5</v>
      </c>
      <c r="J229" s="329"/>
      <c r="K229" s="329"/>
      <c r="L229" s="333">
        <v>45813</v>
      </c>
      <c r="N229" s="327" t="s">
        <v>247</v>
      </c>
      <c r="O229" s="329">
        <f>O227-O228</f>
        <v>-5.6843418860808015E-12</v>
      </c>
      <c r="P229" s="327" t="s">
        <v>247</v>
      </c>
      <c r="Q229" s="329">
        <f>Q227-Q228</f>
        <v>0</v>
      </c>
    </row>
    <row r="230" spans="1:17" ht="15" customHeight="1" x14ac:dyDescent="0.25">
      <c r="A230" s="335">
        <v>222</v>
      </c>
      <c r="B230" s="336">
        <v>45827</v>
      </c>
      <c r="C230" s="43" t="s">
        <v>229</v>
      </c>
      <c r="D230" s="44" t="s">
        <v>375</v>
      </c>
      <c r="E230" s="255"/>
      <c r="F230" s="255"/>
      <c r="G230" s="136">
        <f t="shared" si="16"/>
        <v>10020.319999999976</v>
      </c>
      <c r="H230" s="130" t="s">
        <v>246</v>
      </c>
      <c r="I230" s="328">
        <v>1500</v>
      </c>
      <c r="J230" s="329">
        <v>-1500</v>
      </c>
      <c r="K230" s="329"/>
      <c r="L230" s="333">
        <v>45845</v>
      </c>
    </row>
    <row r="231" spans="1:17" ht="15" customHeight="1" x14ac:dyDescent="0.25">
      <c r="A231" s="335">
        <v>223</v>
      </c>
      <c r="B231" s="336">
        <v>45831</v>
      </c>
      <c r="C231" s="43">
        <v>626200</v>
      </c>
      <c r="D231" s="44" t="s">
        <v>233</v>
      </c>
      <c r="E231" s="255"/>
      <c r="F231" s="255">
        <v>9.99</v>
      </c>
      <c r="G231" s="136">
        <f t="shared" ref="G231:G240" si="17">+G230+E231-F231</f>
        <v>10010.329999999976</v>
      </c>
      <c r="H231" s="130" t="s">
        <v>246</v>
      </c>
      <c r="I231" s="328">
        <f t="shared" si="15"/>
        <v>-9.99</v>
      </c>
      <c r="J231" s="329"/>
      <c r="K231" s="329"/>
      <c r="L231" s="333">
        <v>45845</v>
      </c>
    </row>
    <row r="232" spans="1:17" ht="15" customHeight="1" x14ac:dyDescent="0.25">
      <c r="A232" s="335">
        <v>224</v>
      </c>
      <c r="B232" s="336">
        <v>45837</v>
      </c>
      <c r="C232" s="43">
        <v>647500</v>
      </c>
      <c r="D232" s="44" t="s">
        <v>379</v>
      </c>
      <c r="E232" s="255"/>
      <c r="F232" s="255">
        <v>141</v>
      </c>
      <c r="G232" s="136">
        <f t="shared" si="17"/>
        <v>9869.3299999999763</v>
      </c>
      <c r="H232" s="130" t="s">
        <v>246</v>
      </c>
      <c r="I232" s="328">
        <f t="shared" si="15"/>
        <v>-141</v>
      </c>
      <c r="J232" s="329"/>
      <c r="K232" s="329"/>
      <c r="L232" s="333">
        <v>45845</v>
      </c>
    </row>
    <row r="233" spans="1:17" ht="15" customHeight="1" x14ac:dyDescent="0.25">
      <c r="A233" s="335">
        <v>225</v>
      </c>
      <c r="B233" s="336">
        <v>45838</v>
      </c>
      <c r="C233" s="43">
        <v>641200</v>
      </c>
      <c r="D233" s="44" t="s">
        <v>380</v>
      </c>
      <c r="E233" s="255"/>
      <c r="F233" s="255">
        <v>543.26</v>
      </c>
      <c r="G233" s="136">
        <f t="shared" si="17"/>
        <v>9326.0699999999761</v>
      </c>
      <c r="H233" s="130" t="s">
        <v>246</v>
      </c>
      <c r="I233" s="328">
        <f t="shared" si="15"/>
        <v>-543.26</v>
      </c>
      <c r="J233" s="329"/>
      <c r="K233" s="329"/>
      <c r="L233" s="333">
        <v>45845</v>
      </c>
    </row>
    <row r="234" spans="1:17" ht="15" customHeight="1" x14ac:dyDescent="0.25">
      <c r="A234" s="335">
        <v>226</v>
      </c>
      <c r="B234" s="336">
        <v>45838</v>
      </c>
      <c r="C234" s="43">
        <v>641200</v>
      </c>
      <c r="D234" s="44" t="s">
        <v>381</v>
      </c>
      <c r="E234" s="255"/>
      <c r="F234" s="255">
        <v>317.69</v>
      </c>
      <c r="G234" s="136">
        <f t="shared" si="17"/>
        <v>9008.3799999999756</v>
      </c>
      <c r="H234" s="130" t="s">
        <v>246</v>
      </c>
      <c r="I234" s="328">
        <f t="shared" si="15"/>
        <v>-317.69</v>
      </c>
      <c r="J234" s="329"/>
      <c r="K234" s="329"/>
      <c r="L234" s="333">
        <v>45845</v>
      </c>
    </row>
    <row r="235" spans="1:17" ht="15" customHeight="1" x14ac:dyDescent="0.25">
      <c r="A235" s="335">
        <v>227</v>
      </c>
      <c r="B235" s="336">
        <v>45838</v>
      </c>
      <c r="C235" s="43">
        <v>641200</v>
      </c>
      <c r="D235" s="44" t="s">
        <v>382</v>
      </c>
      <c r="E235" s="255"/>
      <c r="F235" s="255">
        <v>174.36</v>
      </c>
      <c r="G235" s="136">
        <f t="shared" si="17"/>
        <v>8834.019999999975</v>
      </c>
      <c r="H235" s="130" t="s">
        <v>246</v>
      </c>
      <c r="I235" s="328">
        <f t="shared" si="15"/>
        <v>-174.36</v>
      </c>
      <c r="J235" s="329"/>
      <c r="K235" s="329"/>
      <c r="L235" s="333">
        <v>45845</v>
      </c>
    </row>
    <row r="236" spans="1:17" ht="15" customHeight="1" x14ac:dyDescent="0.25">
      <c r="A236" s="335">
        <v>228</v>
      </c>
      <c r="B236" s="336">
        <v>45838</v>
      </c>
      <c r="C236" s="43">
        <v>641200</v>
      </c>
      <c r="D236" s="44" t="s">
        <v>383</v>
      </c>
      <c r="E236" s="255"/>
      <c r="F236" s="255">
        <v>503.39</v>
      </c>
      <c r="G236" s="136">
        <f t="shared" si="17"/>
        <v>8330.6299999999756</v>
      </c>
      <c r="H236" s="130" t="s">
        <v>246</v>
      </c>
      <c r="I236" s="328">
        <f t="shared" si="15"/>
        <v>-503.39</v>
      </c>
      <c r="J236" s="329"/>
      <c r="K236" s="329"/>
      <c r="L236" s="333">
        <v>45845</v>
      </c>
    </row>
    <row r="237" spans="1:17" ht="15" customHeight="1" x14ac:dyDescent="0.25">
      <c r="A237" s="335">
        <v>229</v>
      </c>
      <c r="B237" s="336">
        <v>45838</v>
      </c>
      <c r="C237" s="43">
        <v>641200</v>
      </c>
      <c r="D237" s="44" t="s">
        <v>384</v>
      </c>
      <c r="E237" s="255"/>
      <c r="F237" s="255">
        <v>272.45999999999998</v>
      </c>
      <c r="G237" s="136">
        <f t="shared" si="17"/>
        <v>8058.1699999999755</v>
      </c>
      <c r="H237" s="130" t="s">
        <v>246</v>
      </c>
      <c r="I237" s="328">
        <f t="shared" si="15"/>
        <v>-272.45999999999998</v>
      </c>
      <c r="J237" s="329"/>
      <c r="K237" s="329"/>
      <c r="L237" s="333">
        <v>45845</v>
      </c>
    </row>
    <row r="238" spans="1:17" ht="15" customHeight="1" x14ac:dyDescent="0.25">
      <c r="A238" s="335">
        <v>230</v>
      </c>
      <c r="B238" s="336">
        <v>45838</v>
      </c>
      <c r="C238" s="43">
        <v>645800</v>
      </c>
      <c r="D238" s="44" t="s">
        <v>385</v>
      </c>
      <c r="E238" s="255"/>
      <c r="F238" s="255">
        <v>720.59</v>
      </c>
      <c r="G238" s="136">
        <f t="shared" si="17"/>
        <v>7337.5799999999754</v>
      </c>
      <c r="H238" s="130" t="s">
        <v>246</v>
      </c>
      <c r="I238" s="328">
        <f t="shared" si="15"/>
        <v>-720.59</v>
      </c>
      <c r="J238" s="329"/>
      <c r="K238" s="329"/>
      <c r="L238" s="333">
        <v>45845</v>
      </c>
    </row>
    <row r="239" spans="1:17" ht="15" customHeight="1" x14ac:dyDescent="0.25">
      <c r="A239" s="335">
        <v>231</v>
      </c>
      <c r="B239" s="336">
        <v>45838</v>
      </c>
      <c r="C239" s="43">
        <v>645700</v>
      </c>
      <c r="D239" s="44" t="s">
        <v>386</v>
      </c>
      <c r="E239" s="255"/>
      <c r="F239" s="255">
        <v>56.61</v>
      </c>
      <c r="G239" s="136">
        <f t="shared" si="17"/>
        <v>7280.9699999999757</v>
      </c>
      <c r="H239" s="130" t="s">
        <v>246</v>
      </c>
      <c r="I239" s="328">
        <f t="shared" si="15"/>
        <v>-56.61</v>
      </c>
      <c r="J239" s="329"/>
      <c r="K239" s="329"/>
      <c r="L239" s="333">
        <v>45845</v>
      </c>
      <c r="N239" s="327" t="s">
        <v>390</v>
      </c>
      <c r="O239" s="329">
        <v>304.64</v>
      </c>
      <c r="P239" s="327" t="s">
        <v>388</v>
      </c>
      <c r="Q239" s="329">
        <v>24948.38</v>
      </c>
    </row>
    <row r="240" spans="1:17" ht="15" customHeight="1" x14ac:dyDescent="0.25">
      <c r="A240" s="335">
        <v>232</v>
      </c>
      <c r="B240" s="336">
        <v>45838</v>
      </c>
      <c r="C240" s="43">
        <v>622610</v>
      </c>
      <c r="D240" s="44" t="s">
        <v>387</v>
      </c>
      <c r="E240" s="255"/>
      <c r="F240" s="255">
        <v>105</v>
      </c>
      <c r="G240" s="136">
        <f t="shared" si="17"/>
        <v>7175.9699999999757</v>
      </c>
      <c r="H240" s="130" t="s">
        <v>246</v>
      </c>
      <c r="I240" s="328">
        <f t="shared" si="15"/>
        <v>-105</v>
      </c>
      <c r="J240" s="329"/>
      <c r="K240" s="329"/>
      <c r="L240" s="333">
        <v>45845</v>
      </c>
      <c r="N240" s="327" t="s">
        <v>389</v>
      </c>
      <c r="O240" s="329">
        <f>SUM(I7:I241)</f>
        <v>304.64000000000601</v>
      </c>
      <c r="P240" s="327" t="s">
        <v>389</v>
      </c>
      <c r="Q240" s="329">
        <f>SUM(J7:J241)</f>
        <v>24948.380000000012</v>
      </c>
    </row>
    <row r="241" spans="1:17" ht="15" customHeight="1" x14ac:dyDescent="0.25">
      <c r="A241" s="335">
        <v>233</v>
      </c>
      <c r="B241" s="336">
        <v>45840</v>
      </c>
      <c r="C241" s="43">
        <v>622640</v>
      </c>
      <c r="D241" s="44" t="s">
        <v>410</v>
      </c>
      <c r="E241" s="255"/>
      <c r="F241" s="255">
        <v>320</v>
      </c>
      <c r="G241" s="136">
        <f t="shared" si="16"/>
        <v>6855.9699999999757</v>
      </c>
      <c r="H241" s="130" t="s">
        <v>246</v>
      </c>
      <c r="I241" s="328">
        <f t="shared" si="15"/>
        <v>-320</v>
      </c>
      <c r="J241" s="329"/>
      <c r="K241" s="329"/>
      <c r="L241" s="333">
        <v>45845</v>
      </c>
      <c r="N241" s="327" t="s">
        <v>247</v>
      </c>
      <c r="O241" s="329">
        <f>O239-O240</f>
        <v>-6.0254023992456496E-12</v>
      </c>
      <c r="P241" s="327" t="s">
        <v>247</v>
      </c>
      <c r="Q241" s="329">
        <f>Q239-Q240</f>
        <v>0</v>
      </c>
    </row>
    <row r="242" spans="1:17" ht="15" customHeight="1" x14ac:dyDescent="0.25">
      <c r="A242" s="335">
        <v>234</v>
      </c>
      <c r="B242" s="336">
        <v>45848</v>
      </c>
      <c r="C242" s="43">
        <v>607100</v>
      </c>
      <c r="D242" s="44" t="s">
        <v>392</v>
      </c>
      <c r="E242" s="255"/>
      <c r="F242" s="255">
        <f>4.03+1.48+2.17</f>
        <v>7.68</v>
      </c>
      <c r="G242" s="136">
        <f t="shared" si="16"/>
        <v>6848.2899999999754</v>
      </c>
      <c r="H242" s="130" t="s">
        <v>246</v>
      </c>
      <c r="I242" s="328">
        <f t="shared" si="15"/>
        <v>-7.68</v>
      </c>
      <c r="J242" s="329"/>
      <c r="K242" s="329"/>
      <c r="L242" s="333">
        <v>45936</v>
      </c>
      <c r="N242" s="338"/>
      <c r="O242" s="339"/>
    </row>
    <row r="243" spans="1:17" ht="15" customHeight="1" x14ac:dyDescent="0.25">
      <c r="A243" s="335">
        <v>235</v>
      </c>
      <c r="B243" s="336">
        <v>45848</v>
      </c>
      <c r="C243" s="43">
        <v>607200</v>
      </c>
      <c r="D243" s="44" t="s">
        <v>393</v>
      </c>
      <c r="E243" s="255"/>
      <c r="F243" s="255">
        <f>6.3+5.38+2.39+2.82+1.14+4.3+2.98</f>
        <v>25.310000000000002</v>
      </c>
      <c r="G243" s="136">
        <f t="shared" si="16"/>
        <v>6822.979999999975</v>
      </c>
      <c r="H243" s="130" t="s">
        <v>246</v>
      </c>
      <c r="I243" s="328">
        <f t="shared" si="15"/>
        <v>-25.310000000000002</v>
      </c>
      <c r="J243" s="329"/>
      <c r="K243" s="329"/>
      <c r="L243" s="333">
        <v>45936</v>
      </c>
    </row>
    <row r="244" spans="1:17" ht="15" customHeight="1" x14ac:dyDescent="0.25">
      <c r="A244" s="335">
        <v>236</v>
      </c>
      <c r="B244" s="336">
        <v>45848</v>
      </c>
      <c r="C244" s="43">
        <v>606800</v>
      </c>
      <c r="D244" s="44" t="s">
        <v>395</v>
      </c>
      <c r="E244" s="255"/>
      <c r="F244" s="255">
        <f>1.99+3.99+1.25+3.78+0.79</f>
        <v>11.8</v>
      </c>
      <c r="G244" s="136">
        <f t="shared" si="16"/>
        <v>6811.1799999999748</v>
      </c>
      <c r="H244" s="130" t="s">
        <v>246</v>
      </c>
      <c r="I244" s="328">
        <f t="shared" si="15"/>
        <v>-11.8</v>
      </c>
      <c r="J244" s="329"/>
      <c r="K244" s="329"/>
      <c r="L244" s="333">
        <v>45936</v>
      </c>
    </row>
    <row r="245" spans="1:17" ht="15" customHeight="1" x14ac:dyDescent="0.25">
      <c r="A245" s="335">
        <v>237</v>
      </c>
      <c r="B245" s="340">
        <v>45854</v>
      </c>
      <c r="C245" s="341">
        <v>756800</v>
      </c>
      <c r="D245" s="342" t="s">
        <v>394</v>
      </c>
      <c r="E245" s="255">
        <v>135</v>
      </c>
      <c r="F245" s="255"/>
      <c r="G245" s="136">
        <f t="shared" si="16"/>
        <v>6946.1799999999748</v>
      </c>
      <c r="H245" s="130" t="s">
        <v>246</v>
      </c>
      <c r="I245" s="328">
        <f t="shared" si="15"/>
        <v>135</v>
      </c>
      <c r="J245" s="329"/>
      <c r="K245" s="329"/>
      <c r="L245" s="333">
        <v>45874</v>
      </c>
    </row>
    <row r="246" spans="1:17" ht="15" customHeight="1" x14ac:dyDescent="0.25">
      <c r="A246" s="335">
        <v>238</v>
      </c>
      <c r="B246" s="340">
        <v>45855</v>
      </c>
      <c r="C246" s="341">
        <v>756800</v>
      </c>
      <c r="D246" s="342" t="s">
        <v>394</v>
      </c>
      <c r="E246" s="255">
        <v>202.5</v>
      </c>
      <c r="F246" s="255"/>
      <c r="G246" s="136">
        <f t="shared" si="16"/>
        <v>7148.6799999999748</v>
      </c>
      <c r="H246" s="130" t="s">
        <v>246</v>
      </c>
      <c r="I246" s="328">
        <f t="shared" si="15"/>
        <v>202.5</v>
      </c>
      <c r="J246" s="329"/>
      <c r="K246" s="329"/>
      <c r="L246" s="333">
        <v>45874</v>
      </c>
    </row>
    <row r="247" spans="1:17" ht="15" customHeight="1" x14ac:dyDescent="0.25">
      <c r="A247" s="335">
        <v>239</v>
      </c>
      <c r="B247" s="340">
        <v>45856</v>
      </c>
      <c r="C247" s="341">
        <v>756800</v>
      </c>
      <c r="D247" s="342" t="s">
        <v>394</v>
      </c>
      <c r="E247" s="255">
        <v>67.5</v>
      </c>
      <c r="F247" s="255"/>
      <c r="G247" s="136">
        <f t="shared" si="16"/>
        <v>7216.1799999999748</v>
      </c>
      <c r="H247" s="130" t="s">
        <v>246</v>
      </c>
      <c r="I247" s="328">
        <f t="shared" si="15"/>
        <v>67.5</v>
      </c>
      <c r="J247" s="329"/>
      <c r="K247" s="329"/>
      <c r="L247" s="333">
        <v>45874</v>
      </c>
    </row>
    <row r="248" spans="1:17" ht="15" customHeight="1" x14ac:dyDescent="0.25">
      <c r="A248" s="335">
        <v>240</v>
      </c>
      <c r="B248" s="336">
        <v>45858</v>
      </c>
      <c r="C248" s="43" t="s">
        <v>229</v>
      </c>
      <c r="D248" s="44" t="s">
        <v>313</v>
      </c>
      <c r="E248" s="255"/>
      <c r="F248" s="255"/>
      <c r="G248" s="136">
        <f t="shared" si="16"/>
        <v>7216.1799999999748</v>
      </c>
      <c r="H248" s="130" t="s">
        <v>246</v>
      </c>
      <c r="I248" s="328">
        <v>3000</v>
      </c>
      <c r="J248" s="329">
        <v>-3000</v>
      </c>
      <c r="K248" s="329"/>
      <c r="L248" s="333">
        <v>45874</v>
      </c>
    </row>
    <row r="249" spans="1:17" ht="15" customHeight="1" x14ac:dyDescent="0.25">
      <c r="A249" s="335">
        <v>241</v>
      </c>
      <c r="B249" s="340">
        <v>45859</v>
      </c>
      <c r="C249" s="341">
        <v>756800</v>
      </c>
      <c r="D249" s="342" t="s">
        <v>394</v>
      </c>
      <c r="E249" s="255">
        <v>67.5</v>
      </c>
      <c r="F249" s="255"/>
      <c r="G249" s="136">
        <f t="shared" si="16"/>
        <v>7283.6799999999748</v>
      </c>
      <c r="H249" s="130" t="s">
        <v>246</v>
      </c>
      <c r="I249" s="328">
        <f t="shared" si="15"/>
        <v>67.5</v>
      </c>
      <c r="J249" s="329"/>
      <c r="K249" s="329"/>
      <c r="L249" s="333">
        <v>45874</v>
      </c>
    </row>
    <row r="250" spans="1:17" ht="15" customHeight="1" x14ac:dyDescent="0.25">
      <c r="A250" s="335">
        <v>242</v>
      </c>
      <c r="B250" s="340">
        <v>45861</v>
      </c>
      <c r="C250" s="341">
        <v>756800</v>
      </c>
      <c r="D250" s="342" t="s">
        <v>394</v>
      </c>
      <c r="E250" s="255">
        <v>67.5</v>
      </c>
      <c r="F250" s="255"/>
      <c r="G250" s="136">
        <f t="shared" si="16"/>
        <v>7351.1799999999748</v>
      </c>
      <c r="H250" s="130" t="s">
        <v>246</v>
      </c>
      <c r="I250" s="328">
        <f t="shared" si="15"/>
        <v>67.5</v>
      </c>
      <c r="J250" s="329"/>
      <c r="K250" s="329"/>
      <c r="L250" s="333">
        <v>45874</v>
      </c>
    </row>
    <row r="251" spans="1:17" ht="15" customHeight="1" x14ac:dyDescent="0.25">
      <c r="A251" s="335">
        <v>243</v>
      </c>
      <c r="B251" s="340">
        <v>45862</v>
      </c>
      <c r="C251" s="341">
        <v>756800</v>
      </c>
      <c r="D251" s="342" t="s">
        <v>394</v>
      </c>
      <c r="E251" s="255">
        <v>67.5</v>
      </c>
      <c r="F251" s="255"/>
      <c r="G251" s="136">
        <f t="shared" si="16"/>
        <v>7418.6799999999748</v>
      </c>
      <c r="H251" s="130" t="s">
        <v>246</v>
      </c>
      <c r="I251" s="328">
        <f t="shared" si="15"/>
        <v>67.5</v>
      </c>
      <c r="J251" s="329"/>
      <c r="K251" s="329"/>
      <c r="L251" s="333">
        <v>45874</v>
      </c>
    </row>
    <row r="252" spans="1:17" ht="15" customHeight="1" x14ac:dyDescent="0.25">
      <c r="A252" s="335">
        <v>244</v>
      </c>
      <c r="B252" s="336">
        <v>45866</v>
      </c>
      <c r="C252" s="43">
        <v>626200</v>
      </c>
      <c r="D252" s="44" t="s">
        <v>233</v>
      </c>
      <c r="E252" s="255"/>
      <c r="F252" s="255">
        <v>9.99</v>
      </c>
      <c r="G252" s="136">
        <f t="shared" si="16"/>
        <v>7408.689999999975</v>
      </c>
      <c r="H252" s="130" t="s">
        <v>246</v>
      </c>
      <c r="I252" s="328">
        <f t="shared" si="15"/>
        <v>-9.99</v>
      </c>
      <c r="J252" s="329"/>
      <c r="K252" s="329"/>
      <c r="L252" s="333">
        <v>45874</v>
      </c>
    </row>
    <row r="253" spans="1:17" ht="15" customHeight="1" x14ac:dyDescent="0.25">
      <c r="A253" s="335">
        <v>245</v>
      </c>
      <c r="B253" s="340">
        <v>45867</v>
      </c>
      <c r="C253" s="341">
        <v>756800</v>
      </c>
      <c r="D253" s="342" t="s">
        <v>394</v>
      </c>
      <c r="E253" s="255">
        <v>67.5</v>
      </c>
      <c r="F253" s="255"/>
      <c r="G253" s="136">
        <f t="shared" si="16"/>
        <v>7476.189999999975</v>
      </c>
      <c r="H253" s="130" t="s">
        <v>246</v>
      </c>
      <c r="I253" s="328">
        <f t="shared" si="15"/>
        <v>67.5</v>
      </c>
      <c r="J253" s="329"/>
      <c r="K253" s="329"/>
      <c r="L253" s="333">
        <v>45874</v>
      </c>
    </row>
    <row r="254" spans="1:17" ht="15" customHeight="1" x14ac:dyDescent="0.25">
      <c r="A254" s="335">
        <v>246</v>
      </c>
      <c r="B254" s="336">
        <v>45869</v>
      </c>
      <c r="C254" s="43">
        <v>641200</v>
      </c>
      <c r="D254" s="44" t="s">
        <v>396</v>
      </c>
      <c r="E254" s="255"/>
      <c r="F254" s="255">
        <v>543.26</v>
      </c>
      <c r="G254" s="136">
        <f t="shared" si="16"/>
        <v>6932.9299999999748</v>
      </c>
      <c r="H254" s="130" t="s">
        <v>246</v>
      </c>
      <c r="I254" s="328">
        <f t="shared" si="15"/>
        <v>-543.26</v>
      </c>
      <c r="J254" s="329"/>
      <c r="K254" s="329"/>
      <c r="L254" s="333">
        <v>45874</v>
      </c>
    </row>
    <row r="255" spans="1:17" ht="15" customHeight="1" x14ac:dyDescent="0.25">
      <c r="A255" s="335">
        <v>247</v>
      </c>
      <c r="B255" s="336">
        <v>45869</v>
      </c>
      <c r="C255" s="43">
        <v>641200</v>
      </c>
      <c r="D255" s="44" t="s">
        <v>397</v>
      </c>
      <c r="E255" s="255"/>
      <c r="F255" s="255">
        <v>317.69</v>
      </c>
      <c r="G255" s="136">
        <f t="shared" si="16"/>
        <v>6615.2399999999752</v>
      </c>
      <c r="H255" s="130" t="s">
        <v>246</v>
      </c>
      <c r="I255" s="328">
        <f t="shared" si="15"/>
        <v>-317.69</v>
      </c>
      <c r="J255" s="329"/>
      <c r="K255" s="329"/>
      <c r="L255" s="333">
        <v>45874</v>
      </c>
    </row>
    <row r="256" spans="1:17" ht="15" customHeight="1" x14ac:dyDescent="0.25">
      <c r="A256" s="335">
        <v>248</v>
      </c>
      <c r="B256" s="336">
        <v>45869</v>
      </c>
      <c r="C256" s="43">
        <v>641200</v>
      </c>
      <c r="D256" s="44" t="s">
        <v>398</v>
      </c>
      <c r="E256" s="255"/>
      <c r="F256" s="255">
        <v>174.36</v>
      </c>
      <c r="G256" s="136">
        <f t="shared" si="16"/>
        <v>6440.8799999999756</v>
      </c>
      <c r="H256" s="130" t="s">
        <v>246</v>
      </c>
      <c r="I256" s="328">
        <f t="shared" si="15"/>
        <v>-174.36</v>
      </c>
      <c r="J256" s="329"/>
      <c r="K256" s="329"/>
      <c r="L256" s="333">
        <v>45874</v>
      </c>
    </row>
    <row r="257" spans="1:17" ht="15" customHeight="1" x14ac:dyDescent="0.25">
      <c r="A257" s="335">
        <v>249</v>
      </c>
      <c r="B257" s="336">
        <v>45869</v>
      </c>
      <c r="C257" s="43">
        <v>641200</v>
      </c>
      <c r="D257" s="44" t="s">
        <v>399</v>
      </c>
      <c r="E257" s="255"/>
      <c r="F257" s="255">
        <v>503.39</v>
      </c>
      <c r="G257" s="136">
        <f>+G256+E257-F257</f>
        <v>5937.4899999999752</v>
      </c>
      <c r="H257" s="130" t="s">
        <v>246</v>
      </c>
      <c r="I257" s="328">
        <f t="shared" si="15"/>
        <v>-503.39</v>
      </c>
      <c r="J257" s="329"/>
      <c r="K257" s="329"/>
      <c r="L257" s="333">
        <v>45874</v>
      </c>
    </row>
    <row r="258" spans="1:17" ht="15" customHeight="1" x14ac:dyDescent="0.25">
      <c r="A258" s="335">
        <v>250</v>
      </c>
      <c r="B258" s="336">
        <v>45869</v>
      </c>
      <c r="C258" s="43">
        <v>641200</v>
      </c>
      <c r="D258" s="44" t="s">
        <v>400</v>
      </c>
      <c r="E258" s="255"/>
      <c r="F258" s="255">
        <v>272.52</v>
      </c>
      <c r="G258" s="136">
        <f>+G257+E258-F258</f>
        <v>5664.9699999999757</v>
      </c>
      <c r="H258" s="130" t="s">
        <v>246</v>
      </c>
      <c r="I258" s="328">
        <f t="shared" si="15"/>
        <v>-272.52</v>
      </c>
      <c r="J258" s="329"/>
      <c r="K258" s="329"/>
      <c r="L258" s="333">
        <v>45874</v>
      </c>
    </row>
    <row r="259" spans="1:17" ht="15" customHeight="1" x14ac:dyDescent="0.25">
      <c r="A259" s="335">
        <v>251</v>
      </c>
      <c r="B259" s="336">
        <v>45869</v>
      </c>
      <c r="C259" s="43">
        <v>645800</v>
      </c>
      <c r="D259" s="44" t="s">
        <v>401</v>
      </c>
      <c r="E259" s="255"/>
      <c r="F259" s="255">
        <v>720.41</v>
      </c>
      <c r="G259" s="136">
        <f>+G258+E259-F259</f>
        <v>4944.5599999999758</v>
      </c>
      <c r="H259" s="130" t="s">
        <v>246</v>
      </c>
      <c r="I259" s="328">
        <f t="shared" si="15"/>
        <v>-720.41</v>
      </c>
      <c r="J259" s="329"/>
      <c r="K259" s="329"/>
      <c r="L259" s="333">
        <v>45874</v>
      </c>
    </row>
    <row r="260" spans="1:17" ht="15" customHeight="1" x14ac:dyDescent="0.25">
      <c r="A260" s="335">
        <v>252</v>
      </c>
      <c r="B260" s="336">
        <v>45869</v>
      </c>
      <c r="C260" s="43">
        <v>645700</v>
      </c>
      <c r="D260" s="44" t="s">
        <v>402</v>
      </c>
      <c r="E260" s="255"/>
      <c r="F260" s="255">
        <v>56.62</v>
      </c>
      <c r="G260" s="136">
        <f t="shared" si="16"/>
        <v>4887.939999999976</v>
      </c>
      <c r="H260" s="130" t="s">
        <v>246</v>
      </c>
      <c r="I260" s="328">
        <f t="shared" si="15"/>
        <v>-56.62</v>
      </c>
      <c r="J260" s="329"/>
      <c r="K260" s="329"/>
      <c r="L260" s="333">
        <v>45874</v>
      </c>
    </row>
    <row r="261" spans="1:17" ht="15" customHeight="1" x14ac:dyDescent="0.25">
      <c r="A261" s="335">
        <v>253</v>
      </c>
      <c r="B261" s="336">
        <v>45869</v>
      </c>
      <c r="C261" s="43">
        <v>622610</v>
      </c>
      <c r="D261" s="44" t="s">
        <v>403</v>
      </c>
      <c r="E261" s="255"/>
      <c r="F261" s="255">
        <v>105</v>
      </c>
      <c r="G261" s="136">
        <f t="shared" si="16"/>
        <v>4782.939999999976</v>
      </c>
      <c r="H261" s="130" t="s">
        <v>246</v>
      </c>
      <c r="I261" s="328">
        <f t="shared" si="15"/>
        <v>-105</v>
      </c>
      <c r="J261" s="329"/>
      <c r="K261" s="329"/>
      <c r="L261" s="333">
        <v>45874</v>
      </c>
    </row>
    <row r="262" spans="1:17" ht="15" customHeight="1" x14ac:dyDescent="0.25">
      <c r="A262" s="335">
        <v>254</v>
      </c>
      <c r="B262" s="340">
        <v>45869</v>
      </c>
      <c r="C262" s="341">
        <v>606400</v>
      </c>
      <c r="D262" s="342" t="s">
        <v>404</v>
      </c>
      <c r="E262" s="255"/>
      <c r="F262" s="255">
        <v>198.74</v>
      </c>
      <c r="G262" s="136">
        <f t="shared" si="16"/>
        <v>4584.1999999999762</v>
      </c>
      <c r="H262" s="130" t="s">
        <v>246</v>
      </c>
      <c r="I262" s="328">
        <f t="shared" si="15"/>
        <v>-198.74</v>
      </c>
      <c r="J262" s="329"/>
      <c r="K262" s="329"/>
      <c r="L262" s="333">
        <v>45874</v>
      </c>
    </row>
    <row r="263" spans="1:17" ht="15" customHeight="1" x14ac:dyDescent="0.25">
      <c r="A263" s="335">
        <v>255</v>
      </c>
      <c r="B263" s="340">
        <v>45870</v>
      </c>
      <c r="C263" s="341">
        <v>756800</v>
      </c>
      <c r="D263" s="342" t="s">
        <v>394</v>
      </c>
      <c r="E263" s="255">
        <v>135</v>
      </c>
      <c r="F263" s="255"/>
      <c r="G263" s="136">
        <f t="shared" si="16"/>
        <v>4719.1999999999762</v>
      </c>
      <c r="H263" s="130" t="s">
        <v>246</v>
      </c>
      <c r="I263" s="328">
        <f t="shared" si="15"/>
        <v>135</v>
      </c>
      <c r="J263" s="329"/>
      <c r="K263" s="329"/>
      <c r="L263" s="333">
        <v>45874</v>
      </c>
    </row>
    <row r="264" spans="1:17" ht="15" customHeight="1" x14ac:dyDescent="0.25">
      <c r="A264" s="335">
        <v>256</v>
      </c>
      <c r="B264" s="336">
        <v>45871</v>
      </c>
      <c r="C264" s="43">
        <v>622640</v>
      </c>
      <c r="D264" s="44" t="s">
        <v>411</v>
      </c>
      <c r="E264" s="255"/>
      <c r="F264" s="255">
        <v>80</v>
      </c>
      <c r="G264" s="136">
        <f t="shared" si="16"/>
        <v>4639.1999999999762</v>
      </c>
      <c r="H264" s="130" t="s">
        <v>246</v>
      </c>
      <c r="I264" s="328">
        <f t="shared" si="15"/>
        <v>-80</v>
      </c>
      <c r="J264" s="329"/>
      <c r="K264" s="329"/>
      <c r="L264" s="333">
        <v>45874</v>
      </c>
      <c r="N264" s="327" t="s">
        <v>429</v>
      </c>
      <c r="O264" s="329">
        <v>1470.16</v>
      </c>
      <c r="P264" s="327" t="s">
        <v>431</v>
      </c>
      <c r="Q264" s="329">
        <v>21948.38</v>
      </c>
    </row>
    <row r="265" spans="1:17" ht="15" customHeight="1" x14ac:dyDescent="0.25">
      <c r="A265" s="335">
        <v>257</v>
      </c>
      <c r="B265" s="340">
        <v>45873</v>
      </c>
      <c r="C265" s="341">
        <v>756800</v>
      </c>
      <c r="D265" s="342" t="s">
        <v>394</v>
      </c>
      <c r="E265" s="255">
        <v>67.5</v>
      </c>
      <c r="F265" s="255"/>
      <c r="G265" s="136">
        <f t="shared" si="16"/>
        <v>4706.6999999999762</v>
      </c>
      <c r="H265" s="130" t="s">
        <v>246</v>
      </c>
      <c r="I265" s="328">
        <f t="shared" ref="I265:I277" si="18">E265-F265</f>
        <v>67.5</v>
      </c>
      <c r="J265" s="329"/>
      <c r="K265" s="329"/>
      <c r="L265" s="333">
        <v>45874</v>
      </c>
      <c r="N265" s="327" t="s">
        <v>430</v>
      </c>
      <c r="O265" s="329">
        <f>SUM(I7:I267)</f>
        <v>1425.370000000006</v>
      </c>
      <c r="P265" s="327" t="s">
        <v>430</v>
      </c>
      <c r="Q265" s="329">
        <f>SUM(J7:J267)</f>
        <v>21948.380000000012</v>
      </c>
    </row>
    <row r="266" spans="1:17" ht="15" customHeight="1" x14ac:dyDescent="0.25">
      <c r="A266" s="335">
        <v>258</v>
      </c>
      <c r="B266" s="340">
        <v>45873</v>
      </c>
      <c r="C266" s="341">
        <v>756800</v>
      </c>
      <c r="D266" s="342" t="s">
        <v>394</v>
      </c>
      <c r="E266" s="255">
        <v>67.5</v>
      </c>
      <c r="F266" s="255"/>
      <c r="G266" s="136">
        <f t="shared" si="16"/>
        <v>4774.1999999999762</v>
      </c>
      <c r="H266" s="130" t="s">
        <v>246</v>
      </c>
      <c r="I266" s="328">
        <f t="shared" si="18"/>
        <v>67.5</v>
      </c>
      <c r="J266" s="329"/>
      <c r="K266" s="329"/>
      <c r="L266" s="333">
        <v>45874</v>
      </c>
      <c r="N266" s="327" t="s">
        <v>247</v>
      </c>
      <c r="O266" s="329">
        <f>O264-O265</f>
        <v>44.789999999994052</v>
      </c>
      <c r="P266" s="327" t="s">
        <v>247</v>
      </c>
      <c r="Q266" s="329">
        <f>Q264-Q265</f>
        <v>0</v>
      </c>
    </row>
    <row r="267" spans="1:17" ht="15" customHeight="1" x14ac:dyDescent="0.25">
      <c r="A267" s="335">
        <v>259</v>
      </c>
      <c r="B267" s="340">
        <v>45874</v>
      </c>
      <c r="C267" s="341">
        <v>756800</v>
      </c>
      <c r="D267" s="342" t="s">
        <v>394</v>
      </c>
      <c r="E267" s="255">
        <v>202.5</v>
      </c>
      <c r="F267" s="255"/>
      <c r="G267" s="136">
        <f t="shared" si="16"/>
        <v>4976.6999999999762</v>
      </c>
      <c r="H267" s="130" t="s">
        <v>246</v>
      </c>
      <c r="I267" s="328">
        <f t="shared" si="18"/>
        <v>202.5</v>
      </c>
      <c r="J267" s="329"/>
      <c r="K267" s="329"/>
      <c r="L267" s="333">
        <v>45874</v>
      </c>
      <c r="N267" s="343" t="s">
        <v>442</v>
      </c>
      <c r="O267" s="344">
        <f>(7.68+25.31+11.8)</f>
        <v>44.789999999999992</v>
      </c>
      <c r="P267" s="323"/>
      <c r="Q267" s="337"/>
    </row>
    <row r="268" spans="1:17" ht="15" customHeight="1" x14ac:dyDescent="0.25">
      <c r="A268" s="335">
        <v>260</v>
      </c>
      <c r="B268" s="340">
        <v>45875</v>
      </c>
      <c r="C268" s="341">
        <v>756800</v>
      </c>
      <c r="D268" s="342" t="s">
        <v>394</v>
      </c>
      <c r="E268" s="255">
        <v>135</v>
      </c>
      <c r="F268" s="255"/>
      <c r="G268" s="136">
        <f t="shared" si="16"/>
        <v>5111.6999999999762</v>
      </c>
      <c r="H268" s="130" t="s">
        <v>246</v>
      </c>
      <c r="I268" s="328">
        <f t="shared" si="18"/>
        <v>135</v>
      </c>
      <c r="J268" s="329"/>
      <c r="K268" s="329"/>
      <c r="L268" s="333">
        <v>45905</v>
      </c>
      <c r="N268" s="338"/>
      <c r="O268" s="339"/>
    </row>
    <row r="269" spans="1:17" ht="15" customHeight="1" x14ac:dyDescent="0.25">
      <c r="A269" s="335">
        <v>261</v>
      </c>
      <c r="B269" s="336">
        <v>45877</v>
      </c>
      <c r="C269" s="43">
        <v>606400</v>
      </c>
      <c r="D269" s="44" t="s">
        <v>414</v>
      </c>
      <c r="E269" s="255"/>
      <c r="F269" s="255">
        <v>28.05</v>
      </c>
      <c r="G269" s="136">
        <f t="shared" si="16"/>
        <v>5083.649999999976</v>
      </c>
      <c r="H269" s="130" t="s">
        <v>246</v>
      </c>
      <c r="I269" s="328">
        <f t="shared" si="18"/>
        <v>-28.05</v>
      </c>
      <c r="J269" s="329"/>
      <c r="K269" s="329"/>
      <c r="L269" s="333">
        <v>45905</v>
      </c>
    </row>
    <row r="270" spans="1:17" ht="15" customHeight="1" x14ac:dyDescent="0.25">
      <c r="A270" s="335">
        <v>262</v>
      </c>
      <c r="B270" s="340">
        <v>45880</v>
      </c>
      <c r="C270" s="341">
        <v>756800</v>
      </c>
      <c r="D270" s="342" t="s">
        <v>394</v>
      </c>
      <c r="E270" s="255">
        <v>135</v>
      </c>
      <c r="F270" s="255"/>
      <c r="G270" s="136">
        <f t="shared" si="16"/>
        <v>5218.649999999976</v>
      </c>
      <c r="H270" s="130" t="s">
        <v>246</v>
      </c>
      <c r="I270" s="328">
        <f t="shared" si="18"/>
        <v>135</v>
      </c>
      <c r="J270" s="329"/>
      <c r="K270" s="329"/>
      <c r="L270" s="333">
        <v>45905</v>
      </c>
    </row>
    <row r="271" spans="1:17" ht="15" customHeight="1" x14ac:dyDescent="0.25">
      <c r="A271" s="335">
        <v>263</v>
      </c>
      <c r="B271" s="340">
        <v>45882</v>
      </c>
      <c r="C271" s="341">
        <v>756800</v>
      </c>
      <c r="D271" s="342" t="s">
        <v>394</v>
      </c>
      <c r="E271" s="255">
        <v>67.5</v>
      </c>
      <c r="F271" s="255"/>
      <c r="G271" s="136">
        <f t="shared" si="16"/>
        <v>5286.149999999976</v>
      </c>
      <c r="H271" s="130" t="s">
        <v>246</v>
      </c>
      <c r="I271" s="328">
        <f t="shared" si="18"/>
        <v>67.5</v>
      </c>
      <c r="J271" s="329"/>
      <c r="K271" s="329"/>
      <c r="L271" s="333">
        <v>45905</v>
      </c>
    </row>
    <row r="272" spans="1:17" ht="15" customHeight="1" x14ac:dyDescent="0.25">
      <c r="A272" s="335">
        <v>264</v>
      </c>
      <c r="B272" s="340">
        <v>45883</v>
      </c>
      <c r="C272" s="341">
        <v>756800</v>
      </c>
      <c r="D272" s="342" t="s">
        <v>394</v>
      </c>
      <c r="E272" s="255">
        <v>67.5</v>
      </c>
      <c r="F272" s="255"/>
      <c r="G272" s="136">
        <f t="shared" si="16"/>
        <v>5353.649999999976</v>
      </c>
      <c r="H272" s="130" t="s">
        <v>246</v>
      </c>
      <c r="I272" s="328">
        <f t="shared" si="18"/>
        <v>67.5</v>
      </c>
      <c r="J272" s="329"/>
      <c r="K272" s="329"/>
      <c r="L272" s="333">
        <v>45905</v>
      </c>
    </row>
    <row r="273" spans="1:17" ht="15" customHeight="1" x14ac:dyDescent="0.25">
      <c r="A273" s="335">
        <v>265</v>
      </c>
      <c r="B273" s="340">
        <v>45884</v>
      </c>
      <c r="C273" s="341">
        <v>756800</v>
      </c>
      <c r="D273" s="342" t="s">
        <v>394</v>
      </c>
      <c r="E273" s="255">
        <v>67.5</v>
      </c>
      <c r="F273" s="255"/>
      <c r="G273" s="136">
        <f t="shared" ref="G273:G336" si="19">+G272+E273-F273</f>
        <v>5421.149999999976</v>
      </c>
      <c r="H273" s="130" t="s">
        <v>246</v>
      </c>
      <c r="I273" s="328">
        <f t="shared" si="18"/>
        <v>67.5</v>
      </c>
      <c r="J273" s="329"/>
      <c r="K273" s="329"/>
      <c r="L273" s="333">
        <v>45905</v>
      </c>
    </row>
    <row r="274" spans="1:17" ht="15" customHeight="1" x14ac:dyDescent="0.25">
      <c r="A274" s="335">
        <v>266</v>
      </c>
      <c r="B274" s="340">
        <v>45887</v>
      </c>
      <c r="C274" s="341">
        <v>756800</v>
      </c>
      <c r="D274" s="342" t="s">
        <v>394</v>
      </c>
      <c r="E274" s="255">
        <v>67.5</v>
      </c>
      <c r="F274" s="255"/>
      <c r="G274" s="136">
        <f t="shared" si="19"/>
        <v>5488.649999999976</v>
      </c>
      <c r="H274" s="130" t="s">
        <v>246</v>
      </c>
      <c r="I274" s="328">
        <f t="shared" si="18"/>
        <v>67.5</v>
      </c>
      <c r="J274" s="329"/>
      <c r="K274" s="329"/>
      <c r="L274" s="333">
        <v>45905</v>
      </c>
    </row>
    <row r="275" spans="1:17" ht="15" customHeight="1" x14ac:dyDescent="0.25">
      <c r="A275" s="335">
        <v>267</v>
      </c>
      <c r="B275" s="340">
        <v>45887</v>
      </c>
      <c r="C275" s="341">
        <v>756800</v>
      </c>
      <c r="D275" s="342" t="s">
        <v>394</v>
      </c>
      <c r="E275" s="255">
        <v>202.5</v>
      </c>
      <c r="F275" s="255"/>
      <c r="G275" s="136">
        <f t="shared" si="19"/>
        <v>5691.149999999976</v>
      </c>
      <c r="H275" s="130" t="s">
        <v>246</v>
      </c>
      <c r="I275" s="328">
        <f t="shared" si="18"/>
        <v>202.5</v>
      </c>
      <c r="J275" s="329"/>
      <c r="K275" s="329"/>
      <c r="L275" s="333">
        <v>45905</v>
      </c>
    </row>
    <row r="276" spans="1:17" ht="15" customHeight="1" x14ac:dyDescent="0.25">
      <c r="A276" s="335">
        <v>268</v>
      </c>
      <c r="B276" s="340">
        <v>45887</v>
      </c>
      <c r="C276" s="341">
        <v>756800</v>
      </c>
      <c r="D276" s="342" t="s">
        <v>394</v>
      </c>
      <c r="E276" s="255">
        <v>202.5</v>
      </c>
      <c r="F276" s="255"/>
      <c r="G276" s="136">
        <f t="shared" si="19"/>
        <v>5893.649999999976</v>
      </c>
      <c r="H276" s="130" t="s">
        <v>246</v>
      </c>
      <c r="I276" s="328">
        <f t="shared" si="18"/>
        <v>202.5</v>
      </c>
      <c r="J276" s="329"/>
      <c r="K276" s="329"/>
      <c r="L276" s="333">
        <v>45905</v>
      </c>
    </row>
    <row r="277" spans="1:17" ht="15" customHeight="1" x14ac:dyDescent="0.25">
      <c r="A277" s="335">
        <v>269</v>
      </c>
      <c r="B277" s="340">
        <v>45888</v>
      </c>
      <c r="C277" s="341">
        <v>756800</v>
      </c>
      <c r="D277" s="342" t="s">
        <v>394</v>
      </c>
      <c r="E277" s="255">
        <v>67.5</v>
      </c>
      <c r="F277" s="255"/>
      <c r="G277" s="136">
        <f t="shared" si="19"/>
        <v>5961.149999999976</v>
      </c>
      <c r="H277" s="130" t="s">
        <v>246</v>
      </c>
      <c r="I277" s="328">
        <f t="shared" si="18"/>
        <v>67.5</v>
      </c>
      <c r="J277" s="329"/>
      <c r="K277" s="329"/>
      <c r="L277" s="333">
        <v>45905</v>
      </c>
    </row>
    <row r="278" spans="1:17" ht="15" customHeight="1" x14ac:dyDescent="0.25">
      <c r="A278" s="335">
        <v>270</v>
      </c>
      <c r="B278" s="336">
        <v>45888</v>
      </c>
      <c r="C278" s="43" t="s">
        <v>229</v>
      </c>
      <c r="D278" s="44" t="s">
        <v>415</v>
      </c>
      <c r="E278" s="255"/>
      <c r="F278" s="255"/>
      <c r="G278" s="136">
        <f t="shared" si="19"/>
        <v>5961.149999999976</v>
      </c>
      <c r="H278" s="130" t="s">
        <v>246</v>
      </c>
      <c r="I278" s="328">
        <v>2700</v>
      </c>
      <c r="J278" s="329">
        <v>-2700</v>
      </c>
      <c r="K278" s="329"/>
      <c r="L278" s="333">
        <v>45905</v>
      </c>
    </row>
    <row r="279" spans="1:17" ht="15" customHeight="1" x14ac:dyDescent="0.25">
      <c r="A279" s="335">
        <v>271</v>
      </c>
      <c r="B279" s="340">
        <v>45889</v>
      </c>
      <c r="C279" s="341">
        <v>756800</v>
      </c>
      <c r="D279" s="342" t="s">
        <v>416</v>
      </c>
      <c r="E279" s="255">
        <v>-67.5</v>
      </c>
      <c r="F279" s="255"/>
      <c r="G279" s="136">
        <f t="shared" si="19"/>
        <v>5893.649999999976</v>
      </c>
      <c r="H279" s="130" t="s">
        <v>246</v>
      </c>
      <c r="I279" s="328">
        <f t="shared" ref="I279:I329" si="20">E279-F279</f>
        <v>-67.5</v>
      </c>
      <c r="J279" s="329"/>
      <c r="K279" s="329"/>
      <c r="L279" s="333">
        <v>45905</v>
      </c>
    </row>
    <row r="280" spans="1:17" ht="15" customHeight="1" x14ac:dyDescent="0.25">
      <c r="A280" s="335">
        <v>272</v>
      </c>
      <c r="B280" s="340">
        <v>45890</v>
      </c>
      <c r="C280" s="341">
        <v>756800</v>
      </c>
      <c r="D280" s="342" t="s">
        <v>394</v>
      </c>
      <c r="E280" s="255">
        <v>67.5</v>
      </c>
      <c r="F280" s="255"/>
      <c r="G280" s="136">
        <f t="shared" si="19"/>
        <v>5961.149999999976</v>
      </c>
      <c r="H280" s="130" t="s">
        <v>246</v>
      </c>
      <c r="I280" s="328">
        <f t="shared" si="20"/>
        <v>67.5</v>
      </c>
      <c r="J280" s="329"/>
      <c r="K280" s="329"/>
      <c r="L280" s="333">
        <v>45905</v>
      </c>
    </row>
    <row r="281" spans="1:17" ht="15" customHeight="1" x14ac:dyDescent="0.25">
      <c r="A281" s="335">
        <v>273</v>
      </c>
      <c r="B281" s="340">
        <v>45891</v>
      </c>
      <c r="C281" s="341">
        <v>756800</v>
      </c>
      <c r="D281" s="342" t="s">
        <v>394</v>
      </c>
      <c r="E281" s="255">
        <v>67.5</v>
      </c>
      <c r="F281" s="255"/>
      <c r="G281" s="136">
        <f t="shared" si="19"/>
        <v>6028.649999999976</v>
      </c>
      <c r="H281" s="130" t="s">
        <v>246</v>
      </c>
      <c r="I281" s="328">
        <f t="shared" si="20"/>
        <v>67.5</v>
      </c>
      <c r="J281" s="329"/>
      <c r="K281" s="329"/>
      <c r="L281" s="333">
        <v>45905</v>
      </c>
    </row>
    <row r="282" spans="1:17" ht="15" customHeight="1" x14ac:dyDescent="0.25">
      <c r="A282" s="335">
        <v>274</v>
      </c>
      <c r="B282" s="340">
        <v>45894</v>
      </c>
      <c r="C282" s="341">
        <v>756800</v>
      </c>
      <c r="D282" s="342" t="s">
        <v>394</v>
      </c>
      <c r="E282" s="255">
        <v>135</v>
      </c>
      <c r="F282" s="255"/>
      <c r="G282" s="136">
        <f t="shared" si="19"/>
        <v>6163.649999999976</v>
      </c>
      <c r="H282" s="130" t="s">
        <v>246</v>
      </c>
      <c r="I282" s="328">
        <f t="shared" si="20"/>
        <v>135</v>
      </c>
      <c r="J282" s="329"/>
      <c r="K282" s="329"/>
      <c r="L282" s="333">
        <v>45905</v>
      </c>
    </row>
    <row r="283" spans="1:17" ht="15" customHeight="1" x14ac:dyDescent="0.25">
      <c r="A283" s="335">
        <v>275</v>
      </c>
      <c r="B283" s="340">
        <v>45894</v>
      </c>
      <c r="C283" s="341">
        <v>756800</v>
      </c>
      <c r="D283" s="342" t="s">
        <v>394</v>
      </c>
      <c r="E283" s="255">
        <v>67.5</v>
      </c>
      <c r="F283" s="255"/>
      <c r="G283" s="136">
        <f t="shared" si="19"/>
        <v>6231.149999999976</v>
      </c>
      <c r="H283" s="130" t="s">
        <v>246</v>
      </c>
      <c r="I283" s="328">
        <f t="shared" si="20"/>
        <v>67.5</v>
      </c>
      <c r="J283" s="329"/>
      <c r="K283" s="329"/>
      <c r="L283" s="333">
        <v>45905</v>
      </c>
    </row>
    <row r="284" spans="1:17" ht="15" customHeight="1" x14ac:dyDescent="0.25">
      <c r="A284" s="335">
        <v>276</v>
      </c>
      <c r="B284" s="336">
        <v>45894</v>
      </c>
      <c r="C284" s="43">
        <v>626200</v>
      </c>
      <c r="D284" s="44" t="s">
        <v>233</v>
      </c>
      <c r="E284" s="255"/>
      <c r="F284" s="255">
        <v>9.99</v>
      </c>
      <c r="G284" s="136">
        <f t="shared" si="19"/>
        <v>6221.1599999999762</v>
      </c>
      <c r="H284" s="130" t="s">
        <v>246</v>
      </c>
      <c r="I284" s="328">
        <f t="shared" si="20"/>
        <v>-9.99</v>
      </c>
      <c r="J284" s="329"/>
      <c r="K284" s="329"/>
      <c r="L284" s="333">
        <v>45905</v>
      </c>
    </row>
    <row r="285" spans="1:17" ht="15" customHeight="1" x14ac:dyDescent="0.25">
      <c r="A285" s="335">
        <v>277</v>
      </c>
      <c r="B285" s="340">
        <v>45895</v>
      </c>
      <c r="C285" s="341">
        <v>756800</v>
      </c>
      <c r="D285" s="342" t="s">
        <v>394</v>
      </c>
      <c r="E285" s="255">
        <v>67.5</v>
      </c>
      <c r="F285" s="255"/>
      <c r="G285" s="136">
        <f t="shared" si="19"/>
        <v>6288.6599999999762</v>
      </c>
      <c r="H285" s="130" t="s">
        <v>246</v>
      </c>
      <c r="I285" s="328">
        <f t="shared" si="20"/>
        <v>67.5</v>
      </c>
      <c r="J285" s="329"/>
      <c r="K285" s="329"/>
      <c r="L285" s="333">
        <v>45905</v>
      </c>
    </row>
    <row r="286" spans="1:17" ht="15" customHeight="1" x14ac:dyDescent="0.25">
      <c r="A286" s="335">
        <v>278</v>
      </c>
      <c r="B286" s="340">
        <v>45896</v>
      </c>
      <c r="C286" s="341">
        <v>756800</v>
      </c>
      <c r="D286" s="342" t="s">
        <v>394</v>
      </c>
      <c r="E286" s="255">
        <v>67.5</v>
      </c>
      <c r="F286" s="255"/>
      <c r="G286" s="136">
        <f t="shared" si="19"/>
        <v>6356.1599999999762</v>
      </c>
      <c r="H286" s="130" t="s">
        <v>246</v>
      </c>
      <c r="I286" s="328">
        <f t="shared" si="20"/>
        <v>67.5</v>
      </c>
      <c r="J286" s="329"/>
      <c r="K286" s="329"/>
      <c r="L286" s="333">
        <v>45905</v>
      </c>
    </row>
    <row r="287" spans="1:17" ht="15" customHeight="1" x14ac:dyDescent="0.25">
      <c r="A287" s="335">
        <v>279</v>
      </c>
      <c r="B287" s="336">
        <v>45896</v>
      </c>
      <c r="C287" s="173">
        <v>626100</v>
      </c>
      <c r="D287" s="175" t="s">
        <v>417</v>
      </c>
      <c r="E287" s="255"/>
      <c r="F287" s="255">
        <v>8.8000000000000007</v>
      </c>
      <c r="G287" s="136">
        <f t="shared" si="19"/>
        <v>6347.359999999976</v>
      </c>
      <c r="H287" s="130" t="s">
        <v>246</v>
      </c>
      <c r="I287" s="328">
        <f t="shared" si="20"/>
        <v>-8.8000000000000007</v>
      </c>
      <c r="J287" s="329"/>
      <c r="K287" s="329"/>
      <c r="L287" s="333">
        <v>45905</v>
      </c>
      <c r="N287" s="327" t="s">
        <v>432</v>
      </c>
      <c r="O287" s="329">
        <v>5447.16</v>
      </c>
      <c r="P287" s="327" t="s">
        <v>434</v>
      </c>
      <c r="Q287" s="329">
        <v>19248.38</v>
      </c>
    </row>
    <row r="288" spans="1:17" ht="15" customHeight="1" x14ac:dyDescent="0.25">
      <c r="A288" s="335">
        <v>280</v>
      </c>
      <c r="B288" s="340">
        <v>45897</v>
      </c>
      <c r="C288" s="341">
        <v>756800</v>
      </c>
      <c r="D288" s="342" t="s">
        <v>394</v>
      </c>
      <c r="E288" s="255">
        <v>67.5</v>
      </c>
      <c r="F288" s="255"/>
      <c r="G288" s="136">
        <f t="shared" si="19"/>
        <v>6414.859999999976</v>
      </c>
      <c r="H288" s="130" t="s">
        <v>246</v>
      </c>
      <c r="I288" s="328">
        <f t="shared" si="20"/>
        <v>67.5</v>
      </c>
      <c r="J288" s="329"/>
      <c r="K288" s="329"/>
      <c r="L288" s="333">
        <v>45905</v>
      </c>
      <c r="N288" s="327" t="s">
        <v>433</v>
      </c>
      <c r="O288" s="329">
        <f>SUM(I7:I300)</f>
        <v>201.11000000000627</v>
      </c>
      <c r="P288" s="327" t="s">
        <v>433</v>
      </c>
      <c r="Q288" s="329">
        <f>SUM(J7:J300)</f>
        <v>19248.380000000012</v>
      </c>
    </row>
    <row r="289" spans="1:18" ht="15" customHeight="1" x14ac:dyDescent="0.25">
      <c r="A289" s="335">
        <v>281</v>
      </c>
      <c r="B289" s="340">
        <v>45898</v>
      </c>
      <c r="C289" s="341">
        <v>756800</v>
      </c>
      <c r="D289" s="342" t="s">
        <v>394</v>
      </c>
      <c r="E289" s="255">
        <v>135</v>
      </c>
      <c r="F289" s="255"/>
      <c r="G289" s="136">
        <f t="shared" si="19"/>
        <v>6549.859999999976</v>
      </c>
      <c r="H289" s="130" t="s">
        <v>246</v>
      </c>
      <c r="I289" s="328">
        <f t="shared" si="20"/>
        <v>135</v>
      </c>
      <c r="J289" s="329"/>
      <c r="K289" s="329"/>
      <c r="L289" s="333">
        <v>45905</v>
      </c>
      <c r="N289" s="327" t="s">
        <v>247</v>
      </c>
      <c r="O289" s="329">
        <f>O287-O288</f>
        <v>5246.0499999999938</v>
      </c>
      <c r="P289" s="327" t="s">
        <v>247</v>
      </c>
      <c r="Q289" s="329">
        <f>Q287-Q288</f>
        <v>0</v>
      </c>
    </row>
    <row r="290" spans="1:18" ht="15" customHeight="1" x14ac:dyDescent="0.25">
      <c r="A290" s="335">
        <v>282</v>
      </c>
      <c r="B290" s="336">
        <v>45900</v>
      </c>
      <c r="C290" s="43">
        <v>641200</v>
      </c>
      <c r="D290" s="44" t="s">
        <v>418</v>
      </c>
      <c r="E290" s="255"/>
      <c r="F290" s="255">
        <v>543.26</v>
      </c>
      <c r="G290" s="136">
        <f t="shared" si="19"/>
        <v>6006.5999999999758</v>
      </c>
      <c r="H290" s="130" t="s">
        <v>246</v>
      </c>
      <c r="I290" s="328">
        <f t="shared" si="20"/>
        <v>-543.26</v>
      </c>
      <c r="J290" s="329"/>
      <c r="K290" s="329"/>
      <c r="L290" s="333">
        <v>45905</v>
      </c>
      <c r="N290" s="343" t="s">
        <v>442</v>
      </c>
      <c r="O290" s="344">
        <f>(7.68+25.31+11.8)</f>
        <v>44.789999999999992</v>
      </c>
      <c r="P290" s="358">
        <f>SUM(O290:O299)</f>
        <v>5246.05</v>
      </c>
    </row>
    <row r="291" spans="1:18" ht="15" customHeight="1" x14ac:dyDescent="0.25">
      <c r="A291" s="335">
        <v>283</v>
      </c>
      <c r="B291" s="336">
        <v>45900</v>
      </c>
      <c r="C291" s="43">
        <v>641200</v>
      </c>
      <c r="D291" s="44" t="s">
        <v>419</v>
      </c>
      <c r="E291" s="255"/>
      <c r="F291" s="255">
        <v>317.69</v>
      </c>
      <c r="G291" s="136">
        <f t="shared" si="19"/>
        <v>5688.9099999999762</v>
      </c>
      <c r="H291" s="130" t="s">
        <v>246</v>
      </c>
      <c r="I291" s="328">
        <f t="shared" si="20"/>
        <v>-317.69</v>
      </c>
      <c r="J291" s="329"/>
      <c r="K291" s="329"/>
      <c r="L291" s="333">
        <v>45905</v>
      </c>
      <c r="N291" s="343" t="s">
        <v>435</v>
      </c>
      <c r="O291" s="344">
        <v>2767.5</v>
      </c>
      <c r="P291" s="359"/>
      <c r="Q291" s="337"/>
    </row>
    <row r="292" spans="1:18" ht="15" customHeight="1" x14ac:dyDescent="0.25">
      <c r="A292" s="335">
        <v>284</v>
      </c>
      <c r="B292" s="336">
        <v>45900</v>
      </c>
      <c r="C292" s="43">
        <v>641200</v>
      </c>
      <c r="D292" s="44" t="s">
        <v>420</v>
      </c>
      <c r="E292" s="255"/>
      <c r="F292" s="255">
        <v>174.36</v>
      </c>
      <c r="G292" s="136">
        <f t="shared" si="19"/>
        <v>5514.5499999999765</v>
      </c>
      <c r="H292" s="130" t="s">
        <v>246</v>
      </c>
      <c r="I292" s="328">
        <f t="shared" si="20"/>
        <v>-174.36</v>
      </c>
      <c r="J292" s="329"/>
      <c r="K292" s="329"/>
      <c r="L292" s="333">
        <v>45905</v>
      </c>
      <c r="N292" s="343" t="s">
        <v>436</v>
      </c>
      <c r="O292" s="344">
        <v>-198.74</v>
      </c>
      <c r="P292" s="359"/>
      <c r="Q292" s="334"/>
    </row>
    <row r="293" spans="1:18" ht="15" customHeight="1" x14ac:dyDescent="0.25">
      <c r="A293" s="335">
        <v>285</v>
      </c>
      <c r="B293" s="336">
        <v>45900</v>
      </c>
      <c r="C293" s="43">
        <v>641200</v>
      </c>
      <c r="D293" s="44" t="s">
        <v>421</v>
      </c>
      <c r="E293" s="255"/>
      <c r="F293" s="255">
        <v>503.39</v>
      </c>
      <c r="G293" s="136">
        <f t="shared" si="19"/>
        <v>5011.1599999999762</v>
      </c>
      <c r="H293" s="130" t="s">
        <v>246</v>
      </c>
      <c r="I293" s="328">
        <f t="shared" si="20"/>
        <v>-503.39</v>
      </c>
      <c r="J293" s="329"/>
      <c r="K293" s="329"/>
      <c r="L293" s="333">
        <v>45905</v>
      </c>
      <c r="N293" s="343" t="s">
        <v>440</v>
      </c>
      <c r="O293" s="344">
        <v>202.5</v>
      </c>
      <c r="P293" s="359"/>
    </row>
    <row r="294" spans="1:18" ht="15" customHeight="1" x14ac:dyDescent="0.25">
      <c r="A294" s="335">
        <v>286</v>
      </c>
      <c r="B294" s="336">
        <v>45900</v>
      </c>
      <c r="C294" s="43">
        <v>641200</v>
      </c>
      <c r="D294" s="44" t="s">
        <v>422</v>
      </c>
      <c r="E294" s="255"/>
      <c r="F294" s="255">
        <v>398.75</v>
      </c>
      <c r="G294" s="136">
        <f t="shared" si="19"/>
        <v>4612.4099999999762</v>
      </c>
      <c r="H294" s="130" t="s">
        <v>246</v>
      </c>
      <c r="I294" s="328">
        <f t="shared" si="20"/>
        <v>-398.75</v>
      </c>
      <c r="J294" s="329"/>
      <c r="K294" s="329"/>
      <c r="L294" s="333">
        <v>45905</v>
      </c>
      <c r="N294" s="343" t="s">
        <v>440</v>
      </c>
      <c r="O294" s="344">
        <v>67.5</v>
      </c>
      <c r="P294" s="359"/>
      <c r="R294" s="334"/>
    </row>
    <row r="295" spans="1:18" ht="15" customHeight="1" x14ac:dyDescent="0.25">
      <c r="A295" s="335">
        <v>287</v>
      </c>
      <c r="B295" s="336">
        <v>45900</v>
      </c>
      <c r="C295" s="43">
        <v>645800</v>
      </c>
      <c r="D295" s="44" t="s">
        <v>423</v>
      </c>
      <c r="E295" s="255"/>
      <c r="F295" s="255">
        <v>757.41</v>
      </c>
      <c r="G295" s="136">
        <f t="shared" si="19"/>
        <v>3854.9999999999764</v>
      </c>
      <c r="H295" s="130" t="s">
        <v>246</v>
      </c>
      <c r="I295" s="328">
        <f t="shared" si="20"/>
        <v>-757.41</v>
      </c>
      <c r="J295" s="329"/>
      <c r="K295" s="329"/>
      <c r="L295" s="333">
        <v>45905</v>
      </c>
      <c r="N295" s="343" t="s">
        <v>440</v>
      </c>
      <c r="O295" s="344">
        <v>540</v>
      </c>
      <c r="P295" s="359"/>
      <c r="Q295" s="288"/>
    </row>
    <row r="296" spans="1:18" ht="15" customHeight="1" x14ac:dyDescent="0.25">
      <c r="A296" s="335">
        <v>288</v>
      </c>
      <c r="B296" s="336">
        <v>45900</v>
      </c>
      <c r="C296" s="43">
        <v>645700</v>
      </c>
      <c r="D296" s="44" t="s">
        <v>424</v>
      </c>
      <c r="E296" s="256"/>
      <c r="F296" s="256">
        <v>68.8</v>
      </c>
      <c r="G296" s="136">
        <f t="shared" si="19"/>
        <v>3786.1999999999762</v>
      </c>
      <c r="H296" s="130" t="s">
        <v>246</v>
      </c>
      <c r="I296" s="328">
        <f t="shared" si="20"/>
        <v>-68.8</v>
      </c>
      <c r="J296" s="329"/>
      <c r="K296" s="329"/>
      <c r="L296" s="333">
        <v>45905</v>
      </c>
      <c r="N296" s="343" t="s">
        <v>437</v>
      </c>
      <c r="O296" s="344">
        <v>675</v>
      </c>
      <c r="P296" s="359"/>
    </row>
    <row r="297" spans="1:18" ht="15" customHeight="1" x14ac:dyDescent="0.25">
      <c r="A297" s="335">
        <v>289</v>
      </c>
      <c r="B297" s="336">
        <v>45900</v>
      </c>
      <c r="C297" s="43">
        <v>622610</v>
      </c>
      <c r="D297" s="44" t="s">
        <v>425</v>
      </c>
      <c r="E297" s="256"/>
      <c r="F297" s="256">
        <v>105</v>
      </c>
      <c r="G297" s="136">
        <f t="shared" si="19"/>
        <v>3681.1999999999762</v>
      </c>
      <c r="H297" s="130" t="s">
        <v>246</v>
      </c>
      <c r="I297" s="328">
        <f t="shared" si="20"/>
        <v>-105</v>
      </c>
      <c r="J297" s="329"/>
      <c r="K297" s="329"/>
      <c r="L297" s="333">
        <v>45905</v>
      </c>
      <c r="N297" s="343" t="s">
        <v>438</v>
      </c>
      <c r="O297" s="344">
        <v>540</v>
      </c>
      <c r="P297" s="359"/>
    </row>
    <row r="298" spans="1:18" ht="15" customHeight="1" x14ac:dyDescent="0.25">
      <c r="A298" s="335">
        <v>290</v>
      </c>
      <c r="B298" s="336">
        <v>45900</v>
      </c>
      <c r="C298" s="173">
        <v>622610</v>
      </c>
      <c r="D298" s="175" t="s">
        <v>426</v>
      </c>
      <c r="E298" s="256"/>
      <c r="F298" s="256">
        <v>60</v>
      </c>
      <c r="G298" s="136">
        <f t="shared" si="19"/>
        <v>3621.1999999999762</v>
      </c>
      <c r="H298" s="130" t="s">
        <v>246</v>
      </c>
      <c r="I298" s="328">
        <f t="shared" si="20"/>
        <v>-60</v>
      </c>
      <c r="J298" s="329"/>
      <c r="K298" s="329"/>
      <c r="L298" s="333">
        <v>45905</v>
      </c>
      <c r="N298" s="343" t="s">
        <v>439</v>
      </c>
      <c r="O298" s="344">
        <v>202.5</v>
      </c>
      <c r="P298" s="359"/>
    </row>
    <row r="299" spans="1:18" ht="15" customHeight="1" x14ac:dyDescent="0.25">
      <c r="A299" s="335">
        <v>291</v>
      </c>
      <c r="B299" s="340">
        <v>45900</v>
      </c>
      <c r="C299" s="341">
        <v>756800</v>
      </c>
      <c r="D299" s="342" t="s">
        <v>427</v>
      </c>
      <c r="E299" s="256">
        <f>-SUM(E245:E247,E249:E251,E253,E263,E265:E268,E270:E277,E279:E283,E285:E286,E288:E289)</f>
        <v>-2767.5</v>
      </c>
      <c r="F299" s="256"/>
      <c r="G299" s="136">
        <f t="shared" si="19"/>
        <v>853.69999999997617</v>
      </c>
      <c r="H299" s="130"/>
      <c r="I299" s="328">
        <f t="shared" si="20"/>
        <v>-2767.5</v>
      </c>
      <c r="J299" s="329"/>
      <c r="K299" s="329"/>
      <c r="L299" s="333"/>
      <c r="N299" s="343" t="s">
        <v>441</v>
      </c>
      <c r="O299" s="344">
        <v>405</v>
      </c>
      <c r="P299" s="359"/>
    </row>
    <row r="300" spans="1:18" ht="15" customHeight="1" x14ac:dyDescent="0.25">
      <c r="A300" s="335">
        <v>292</v>
      </c>
      <c r="B300" s="340">
        <v>45900</v>
      </c>
      <c r="C300" s="341">
        <v>606400</v>
      </c>
      <c r="D300" s="342" t="s">
        <v>428</v>
      </c>
      <c r="E300" s="256"/>
      <c r="F300" s="256">
        <f>-SUM(F262)</f>
        <v>-198.74</v>
      </c>
      <c r="G300" s="136">
        <f t="shared" si="19"/>
        <v>1052.4399999999762</v>
      </c>
      <c r="H300" s="130"/>
      <c r="I300" s="328">
        <f t="shared" si="20"/>
        <v>198.74</v>
      </c>
      <c r="J300" s="329"/>
      <c r="K300" s="329"/>
      <c r="L300" s="333"/>
    </row>
    <row r="301" spans="1:18" ht="15" hidden="1" customHeight="1" x14ac:dyDescent="0.25">
      <c r="A301" s="335"/>
      <c r="B301" s="257"/>
      <c r="C301" s="173"/>
      <c r="D301" s="175"/>
      <c r="E301" s="256"/>
      <c r="F301" s="256"/>
      <c r="G301" s="136">
        <f t="shared" si="19"/>
        <v>1052.4399999999762</v>
      </c>
      <c r="H301" s="130"/>
      <c r="I301" s="328">
        <f t="shared" si="20"/>
        <v>0</v>
      </c>
      <c r="J301" s="329"/>
      <c r="K301" s="329"/>
      <c r="L301" s="333"/>
    </row>
    <row r="302" spans="1:18" ht="15" hidden="1" customHeight="1" x14ac:dyDescent="0.25">
      <c r="A302" s="335"/>
      <c r="B302" s="257"/>
      <c r="C302" s="173"/>
      <c r="D302" s="175"/>
      <c r="E302" s="256"/>
      <c r="F302" s="256"/>
      <c r="G302" s="136">
        <f t="shared" si="19"/>
        <v>1052.4399999999762</v>
      </c>
      <c r="H302" s="130"/>
      <c r="I302" s="328">
        <f t="shared" si="20"/>
        <v>0</v>
      </c>
      <c r="J302" s="329"/>
      <c r="K302" s="329"/>
      <c r="L302" s="333"/>
    </row>
    <row r="303" spans="1:18" ht="15" hidden="1" customHeight="1" x14ac:dyDescent="0.25">
      <c r="A303" s="335"/>
      <c r="B303" s="257"/>
      <c r="C303" s="173"/>
      <c r="D303" s="175"/>
      <c r="E303" s="256"/>
      <c r="F303" s="256"/>
      <c r="G303" s="136">
        <f t="shared" si="19"/>
        <v>1052.4399999999762</v>
      </c>
      <c r="H303" s="130"/>
      <c r="I303" s="328">
        <f t="shared" si="20"/>
        <v>0</v>
      </c>
      <c r="J303" s="329"/>
      <c r="K303" s="329"/>
      <c r="L303" s="333"/>
    </row>
    <row r="304" spans="1:18" ht="15" hidden="1" customHeight="1" x14ac:dyDescent="0.25">
      <c r="A304" s="335"/>
      <c r="B304" s="257"/>
      <c r="C304" s="173"/>
      <c r="D304" s="175"/>
      <c r="E304" s="256"/>
      <c r="F304" s="256"/>
      <c r="G304" s="136">
        <f t="shared" si="19"/>
        <v>1052.4399999999762</v>
      </c>
      <c r="H304" s="130"/>
      <c r="I304" s="328">
        <f t="shared" si="20"/>
        <v>0</v>
      </c>
      <c r="J304" s="329"/>
      <c r="K304" s="329"/>
      <c r="L304" s="333"/>
    </row>
    <row r="305" spans="1:12" ht="15" hidden="1" customHeight="1" x14ac:dyDescent="0.25">
      <c r="A305" s="335"/>
      <c r="B305" s="257"/>
      <c r="C305" s="173"/>
      <c r="D305" s="175"/>
      <c r="E305" s="256"/>
      <c r="F305" s="256"/>
      <c r="G305" s="136">
        <f t="shared" si="19"/>
        <v>1052.4399999999762</v>
      </c>
      <c r="H305" s="130"/>
      <c r="I305" s="328">
        <f t="shared" si="20"/>
        <v>0</v>
      </c>
      <c r="J305" s="329"/>
      <c r="K305" s="329"/>
      <c r="L305" s="333"/>
    </row>
    <row r="306" spans="1:12" ht="15" hidden="1" customHeight="1" x14ac:dyDescent="0.25">
      <c r="A306" s="335"/>
      <c r="B306" s="257"/>
      <c r="C306" s="173"/>
      <c r="D306" s="175"/>
      <c r="E306" s="256"/>
      <c r="F306" s="256"/>
      <c r="G306" s="136">
        <f t="shared" si="19"/>
        <v>1052.4399999999762</v>
      </c>
      <c r="H306" s="130"/>
      <c r="I306" s="328">
        <f t="shared" si="20"/>
        <v>0</v>
      </c>
      <c r="J306" s="329"/>
      <c r="K306" s="329"/>
      <c r="L306" s="333"/>
    </row>
    <row r="307" spans="1:12" ht="15" hidden="1" customHeight="1" x14ac:dyDescent="0.25">
      <c r="A307" s="335"/>
      <c r="B307" s="257"/>
      <c r="C307" s="173"/>
      <c r="D307" s="175"/>
      <c r="E307" s="256"/>
      <c r="F307" s="256"/>
      <c r="G307" s="136">
        <f t="shared" si="19"/>
        <v>1052.4399999999762</v>
      </c>
      <c r="H307" s="130"/>
      <c r="I307" s="328">
        <f t="shared" si="20"/>
        <v>0</v>
      </c>
      <c r="J307" s="329"/>
      <c r="K307" s="329"/>
      <c r="L307" s="333"/>
    </row>
    <row r="308" spans="1:12" ht="15" hidden="1" customHeight="1" x14ac:dyDescent="0.25">
      <c r="A308" s="335"/>
      <c r="B308" s="257"/>
      <c r="C308" s="173"/>
      <c r="D308" s="175"/>
      <c r="E308" s="256"/>
      <c r="F308" s="256"/>
      <c r="G308" s="136">
        <f t="shared" si="19"/>
        <v>1052.4399999999762</v>
      </c>
      <c r="H308" s="130"/>
      <c r="I308" s="328">
        <f t="shared" si="20"/>
        <v>0</v>
      </c>
      <c r="J308" s="329"/>
      <c r="K308" s="329"/>
      <c r="L308" s="333"/>
    </row>
    <row r="309" spans="1:12" ht="15" hidden="1" customHeight="1" x14ac:dyDescent="0.25">
      <c r="A309" s="335"/>
      <c r="B309" s="257"/>
      <c r="C309" s="173"/>
      <c r="D309" s="44"/>
      <c r="E309" s="256"/>
      <c r="F309" s="256"/>
      <c r="G309" s="136">
        <f t="shared" si="19"/>
        <v>1052.4399999999762</v>
      </c>
      <c r="H309" s="130"/>
      <c r="I309" s="328">
        <f t="shared" si="20"/>
        <v>0</v>
      </c>
      <c r="J309" s="329"/>
      <c r="K309" s="329"/>
      <c r="L309" s="333"/>
    </row>
    <row r="310" spans="1:12" ht="15" hidden="1" customHeight="1" x14ac:dyDescent="0.25">
      <c r="A310" s="335"/>
      <c r="B310" s="257"/>
      <c r="C310" s="173"/>
      <c r="D310" s="44"/>
      <c r="E310" s="255"/>
      <c r="F310" s="256"/>
      <c r="G310" s="136">
        <f t="shared" si="19"/>
        <v>1052.4399999999762</v>
      </c>
      <c r="H310" s="130"/>
      <c r="I310" s="328">
        <f t="shared" si="20"/>
        <v>0</v>
      </c>
      <c r="J310" s="329"/>
      <c r="K310" s="329"/>
      <c r="L310" s="333"/>
    </row>
    <row r="311" spans="1:12" ht="15" hidden="1" customHeight="1" x14ac:dyDescent="0.25">
      <c r="A311" s="335"/>
      <c r="B311" s="257"/>
      <c r="C311" s="173"/>
      <c r="D311" s="44"/>
      <c r="E311" s="255"/>
      <c r="F311" s="256"/>
      <c r="G311" s="136">
        <f t="shared" si="19"/>
        <v>1052.4399999999762</v>
      </c>
      <c r="H311" s="130"/>
      <c r="I311" s="328">
        <f t="shared" si="20"/>
        <v>0</v>
      </c>
      <c r="J311" s="329"/>
      <c r="K311" s="329"/>
      <c r="L311" s="333"/>
    </row>
    <row r="312" spans="1:12" ht="15" hidden="1" customHeight="1" x14ac:dyDescent="0.25">
      <c r="A312" s="335"/>
      <c r="B312" s="257"/>
      <c r="C312" s="173"/>
      <c r="D312" s="44"/>
      <c r="E312" s="255"/>
      <c r="F312" s="256"/>
      <c r="G312" s="136">
        <f t="shared" si="19"/>
        <v>1052.4399999999762</v>
      </c>
      <c r="H312" s="130"/>
      <c r="I312" s="328">
        <f t="shared" si="20"/>
        <v>0</v>
      </c>
      <c r="J312" s="329"/>
      <c r="K312" s="329"/>
      <c r="L312" s="333"/>
    </row>
    <row r="313" spans="1:12" ht="15" hidden="1" customHeight="1" x14ac:dyDescent="0.25">
      <c r="A313" s="335"/>
      <c r="B313" s="257"/>
      <c r="C313" s="173"/>
      <c r="D313" s="44"/>
      <c r="E313" s="255"/>
      <c r="F313" s="256"/>
      <c r="G313" s="136">
        <f t="shared" si="19"/>
        <v>1052.4399999999762</v>
      </c>
      <c r="H313" s="130"/>
      <c r="I313" s="328">
        <f t="shared" si="20"/>
        <v>0</v>
      </c>
      <c r="J313" s="329"/>
      <c r="K313" s="329"/>
      <c r="L313" s="333"/>
    </row>
    <row r="314" spans="1:12" ht="15" hidden="1" customHeight="1" x14ac:dyDescent="0.25">
      <c r="A314" s="335"/>
      <c r="B314" s="257"/>
      <c r="C314" s="173"/>
      <c r="D314" s="175"/>
      <c r="E314" s="255"/>
      <c r="F314" s="256"/>
      <c r="G314" s="136">
        <f t="shared" si="19"/>
        <v>1052.4399999999762</v>
      </c>
      <c r="H314" s="130"/>
      <c r="I314" s="328">
        <f t="shared" si="20"/>
        <v>0</v>
      </c>
      <c r="J314" s="329"/>
      <c r="K314" s="329"/>
      <c r="L314" s="333"/>
    </row>
    <row r="315" spans="1:12" ht="15" hidden="1" customHeight="1" x14ac:dyDescent="0.25">
      <c r="A315" s="335"/>
      <c r="B315" s="257"/>
      <c r="C315" s="173"/>
      <c r="D315" s="44"/>
      <c r="E315" s="255"/>
      <c r="F315" s="256"/>
      <c r="G315" s="136">
        <f t="shared" si="19"/>
        <v>1052.4399999999762</v>
      </c>
      <c r="H315" s="130"/>
      <c r="I315" s="328">
        <f t="shared" si="20"/>
        <v>0</v>
      </c>
      <c r="J315" s="329"/>
      <c r="K315" s="329"/>
      <c r="L315" s="333"/>
    </row>
    <row r="316" spans="1:12" ht="15" hidden="1" customHeight="1" x14ac:dyDescent="0.25">
      <c r="A316" s="335"/>
      <c r="B316" s="257"/>
      <c r="C316" s="173"/>
      <c r="D316" s="44"/>
      <c r="E316" s="255"/>
      <c r="F316" s="256"/>
      <c r="G316" s="136">
        <f t="shared" si="19"/>
        <v>1052.4399999999762</v>
      </c>
      <c r="H316" s="130"/>
      <c r="I316" s="328">
        <f t="shared" si="20"/>
        <v>0</v>
      </c>
      <c r="J316" s="329"/>
      <c r="K316" s="329"/>
      <c r="L316" s="333"/>
    </row>
    <row r="317" spans="1:12" ht="15" hidden="1" customHeight="1" x14ac:dyDescent="0.25">
      <c r="A317" s="335"/>
      <c r="B317" s="257"/>
      <c r="C317" s="173"/>
      <c r="D317" s="175"/>
      <c r="E317" s="255"/>
      <c r="F317" s="256"/>
      <c r="G317" s="136">
        <f t="shared" si="19"/>
        <v>1052.4399999999762</v>
      </c>
      <c r="H317" s="130"/>
      <c r="I317" s="328">
        <f t="shared" si="20"/>
        <v>0</v>
      </c>
      <c r="J317" s="329"/>
      <c r="K317" s="329"/>
      <c r="L317" s="333"/>
    </row>
    <row r="318" spans="1:12" ht="15" hidden="1" customHeight="1" x14ac:dyDescent="0.25">
      <c r="A318" s="335"/>
      <c r="B318" s="257"/>
      <c r="C318" s="173"/>
      <c r="D318" s="175"/>
      <c r="E318" s="255"/>
      <c r="F318" s="256"/>
      <c r="G318" s="136">
        <f t="shared" si="19"/>
        <v>1052.4399999999762</v>
      </c>
      <c r="H318" s="130"/>
      <c r="I318" s="328">
        <f t="shared" si="20"/>
        <v>0</v>
      </c>
      <c r="J318" s="329"/>
      <c r="K318" s="329"/>
      <c r="L318" s="333"/>
    </row>
    <row r="319" spans="1:12" ht="15" hidden="1" customHeight="1" x14ac:dyDescent="0.25">
      <c r="A319" s="335"/>
      <c r="B319" s="257"/>
      <c r="C319" s="173"/>
      <c r="D319" s="175"/>
      <c r="E319" s="255"/>
      <c r="F319" s="256"/>
      <c r="G319" s="136">
        <f t="shared" si="19"/>
        <v>1052.4399999999762</v>
      </c>
      <c r="H319" s="130"/>
      <c r="I319" s="328">
        <f t="shared" si="20"/>
        <v>0</v>
      </c>
      <c r="J319" s="329"/>
      <c r="K319" s="329"/>
      <c r="L319" s="333"/>
    </row>
    <row r="320" spans="1:12" ht="15" hidden="1" customHeight="1" x14ac:dyDescent="0.25">
      <c r="A320" s="335"/>
      <c r="B320" s="257"/>
      <c r="C320" s="173"/>
      <c r="D320" s="175"/>
      <c r="E320" s="255"/>
      <c r="F320" s="256"/>
      <c r="G320" s="136">
        <f t="shared" si="19"/>
        <v>1052.4399999999762</v>
      </c>
      <c r="H320" s="130"/>
      <c r="I320" s="328">
        <f t="shared" si="20"/>
        <v>0</v>
      </c>
      <c r="J320" s="329"/>
      <c r="K320" s="329"/>
      <c r="L320" s="333"/>
    </row>
    <row r="321" spans="1:12" ht="15" hidden="1" customHeight="1" x14ac:dyDescent="0.25">
      <c r="A321" s="335"/>
      <c r="B321" s="257"/>
      <c r="C321" s="173"/>
      <c r="D321" s="175"/>
      <c r="E321" s="255"/>
      <c r="F321" s="256"/>
      <c r="G321" s="136">
        <f t="shared" si="19"/>
        <v>1052.4399999999762</v>
      </c>
      <c r="H321" s="130"/>
      <c r="I321" s="328">
        <f t="shared" si="20"/>
        <v>0</v>
      </c>
      <c r="J321" s="329"/>
      <c r="K321" s="329"/>
      <c r="L321" s="333"/>
    </row>
    <row r="322" spans="1:12" ht="15" hidden="1" customHeight="1" x14ac:dyDescent="0.25">
      <c r="A322" s="335"/>
      <c r="B322" s="257"/>
      <c r="C322" s="173"/>
      <c r="D322" s="175"/>
      <c r="E322" s="260"/>
      <c r="F322" s="261"/>
      <c r="G322" s="136">
        <f t="shared" si="19"/>
        <v>1052.4399999999762</v>
      </c>
      <c r="H322" s="130"/>
      <c r="I322" s="328">
        <f t="shared" si="20"/>
        <v>0</v>
      </c>
      <c r="J322" s="329"/>
      <c r="K322" s="329"/>
      <c r="L322" s="333"/>
    </row>
    <row r="323" spans="1:12" ht="15" hidden="1" customHeight="1" x14ac:dyDescent="0.25">
      <c r="A323" s="335"/>
      <c r="B323" s="257"/>
      <c r="C323" s="173"/>
      <c r="D323" s="175"/>
      <c r="E323" s="260"/>
      <c r="F323" s="261"/>
      <c r="G323" s="136">
        <f t="shared" si="19"/>
        <v>1052.4399999999762</v>
      </c>
      <c r="H323" s="130"/>
      <c r="I323" s="328">
        <f t="shared" si="20"/>
        <v>0</v>
      </c>
      <c r="J323" s="329"/>
      <c r="K323" s="329"/>
      <c r="L323" s="333"/>
    </row>
    <row r="324" spans="1:12" ht="15" hidden="1" customHeight="1" x14ac:dyDescent="0.25">
      <c r="A324" s="335"/>
      <c r="B324" s="257"/>
      <c r="C324" s="173"/>
      <c r="D324" s="175"/>
      <c r="E324" s="260"/>
      <c r="F324" s="261"/>
      <c r="G324" s="136">
        <f t="shared" si="19"/>
        <v>1052.4399999999762</v>
      </c>
      <c r="H324" s="130"/>
      <c r="I324" s="328">
        <f t="shared" si="20"/>
        <v>0</v>
      </c>
      <c r="J324" s="329"/>
      <c r="K324" s="329"/>
      <c r="L324" s="333"/>
    </row>
    <row r="325" spans="1:12" ht="15" hidden="1" customHeight="1" x14ac:dyDescent="0.25">
      <c r="A325" s="335"/>
      <c r="B325" s="257"/>
      <c r="C325" s="173"/>
      <c r="D325" s="175"/>
      <c r="E325" s="260"/>
      <c r="F325" s="261"/>
      <c r="G325" s="136">
        <f t="shared" si="19"/>
        <v>1052.4399999999762</v>
      </c>
      <c r="H325" s="130"/>
      <c r="I325" s="328">
        <f t="shared" si="20"/>
        <v>0</v>
      </c>
      <c r="J325" s="329"/>
      <c r="K325" s="329"/>
      <c r="L325" s="333"/>
    </row>
    <row r="326" spans="1:12" ht="15" hidden="1" customHeight="1" x14ac:dyDescent="0.25">
      <c r="A326" s="335"/>
      <c r="B326" s="257"/>
      <c r="C326" s="173"/>
      <c r="D326" s="175"/>
      <c r="E326" s="260"/>
      <c r="F326" s="261"/>
      <c r="G326" s="136">
        <f t="shared" si="19"/>
        <v>1052.4399999999762</v>
      </c>
      <c r="H326" s="130"/>
      <c r="I326" s="328">
        <f t="shared" si="20"/>
        <v>0</v>
      </c>
      <c r="J326" s="329"/>
      <c r="K326" s="329"/>
      <c r="L326" s="333"/>
    </row>
    <row r="327" spans="1:12" ht="15" hidden="1" customHeight="1" x14ac:dyDescent="0.25">
      <c r="A327" s="335"/>
      <c r="B327" s="257"/>
      <c r="C327" s="173"/>
      <c r="D327" s="175"/>
      <c r="E327" s="260"/>
      <c r="F327" s="261"/>
      <c r="G327" s="136">
        <f t="shared" si="19"/>
        <v>1052.4399999999762</v>
      </c>
      <c r="H327" s="130"/>
      <c r="I327" s="328">
        <f t="shared" si="20"/>
        <v>0</v>
      </c>
      <c r="J327" s="329"/>
      <c r="K327" s="329"/>
      <c r="L327" s="333"/>
    </row>
    <row r="328" spans="1:12" ht="15" hidden="1" customHeight="1" x14ac:dyDescent="0.25">
      <c r="A328" s="335"/>
      <c r="B328" s="257"/>
      <c r="C328" s="173"/>
      <c r="D328" s="175"/>
      <c r="E328" s="261"/>
      <c r="F328" s="261"/>
      <c r="G328" s="136">
        <f t="shared" si="19"/>
        <v>1052.4399999999762</v>
      </c>
      <c r="H328" s="130"/>
      <c r="I328" s="328">
        <f t="shared" si="20"/>
        <v>0</v>
      </c>
      <c r="J328" s="329"/>
      <c r="K328" s="329"/>
      <c r="L328" s="333"/>
    </row>
    <row r="329" spans="1:12" ht="15" hidden="1" customHeight="1" x14ac:dyDescent="0.25">
      <c r="A329" s="335"/>
      <c r="B329" s="257"/>
      <c r="C329" s="173"/>
      <c r="D329" s="175"/>
      <c r="E329" s="261"/>
      <c r="F329" s="261"/>
      <c r="G329" s="136">
        <f t="shared" si="19"/>
        <v>1052.4399999999762</v>
      </c>
      <c r="H329" s="130"/>
      <c r="I329" s="328">
        <f t="shared" si="20"/>
        <v>0</v>
      </c>
      <c r="J329" s="329"/>
      <c r="K329" s="329"/>
      <c r="L329" s="333"/>
    </row>
    <row r="330" spans="1:12" ht="15" hidden="1" customHeight="1" x14ac:dyDescent="0.25">
      <c r="A330" s="335"/>
      <c r="B330" s="257"/>
      <c r="C330" s="173"/>
      <c r="D330" s="175"/>
      <c r="E330" s="261"/>
      <c r="F330" s="261"/>
      <c r="G330" s="136">
        <f t="shared" si="19"/>
        <v>1052.4399999999762</v>
      </c>
      <c r="H330" s="130"/>
      <c r="I330" s="328">
        <f t="shared" ref="I330:I393" si="21">E330-F330</f>
        <v>0</v>
      </c>
      <c r="J330" s="329"/>
      <c r="K330" s="329"/>
      <c r="L330" s="333"/>
    </row>
    <row r="331" spans="1:12" ht="15" hidden="1" customHeight="1" x14ac:dyDescent="0.25">
      <c r="A331" s="335"/>
      <c r="B331" s="257"/>
      <c r="C331" s="173"/>
      <c r="D331" s="175"/>
      <c r="E331" s="261"/>
      <c r="F331" s="261"/>
      <c r="G331" s="136">
        <f t="shared" si="19"/>
        <v>1052.4399999999762</v>
      </c>
      <c r="H331" s="130"/>
      <c r="I331" s="328">
        <f t="shared" si="21"/>
        <v>0</v>
      </c>
      <c r="J331" s="329"/>
      <c r="K331" s="329"/>
      <c r="L331" s="333"/>
    </row>
    <row r="332" spans="1:12" ht="15" hidden="1" customHeight="1" x14ac:dyDescent="0.25">
      <c r="A332" s="335"/>
      <c r="B332" s="257"/>
      <c r="C332" s="173"/>
      <c r="D332" s="175"/>
      <c r="E332" s="261"/>
      <c r="F332" s="261"/>
      <c r="G332" s="136">
        <f t="shared" si="19"/>
        <v>1052.4399999999762</v>
      </c>
      <c r="H332" s="130"/>
      <c r="I332" s="328">
        <f t="shared" si="21"/>
        <v>0</v>
      </c>
      <c r="J332" s="329"/>
      <c r="K332" s="329"/>
      <c r="L332" s="333"/>
    </row>
    <row r="333" spans="1:12" ht="15" hidden="1" customHeight="1" x14ac:dyDescent="0.25">
      <c r="A333" s="335"/>
      <c r="B333" s="257"/>
      <c r="C333" s="173"/>
      <c r="D333" s="175"/>
      <c r="E333" s="261"/>
      <c r="F333" s="261"/>
      <c r="G333" s="136">
        <f t="shared" si="19"/>
        <v>1052.4399999999762</v>
      </c>
      <c r="H333" s="130"/>
      <c r="I333" s="328">
        <f t="shared" si="21"/>
        <v>0</v>
      </c>
      <c r="J333" s="329"/>
      <c r="K333" s="329"/>
      <c r="L333" s="333"/>
    </row>
    <row r="334" spans="1:12" ht="15" hidden="1" customHeight="1" x14ac:dyDescent="0.25">
      <c r="A334" s="335"/>
      <c r="B334" s="257"/>
      <c r="C334" s="173"/>
      <c r="D334" s="175"/>
      <c r="E334" s="261"/>
      <c r="F334" s="261"/>
      <c r="G334" s="136">
        <f t="shared" si="19"/>
        <v>1052.4399999999762</v>
      </c>
      <c r="H334" s="130"/>
      <c r="I334" s="328">
        <f t="shared" si="21"/>
        <v>0</v>
      </c>
      <c r="J334" s="329"/>
      <c r="K334" s="329"/>
      <c r="L334" s="333"/>
    </row>
    <row r="335" spans="1:12" ht="15" hidden="1" customHeight="1" x14ac:dyDescent="0.25">
      <c r="A335" s="335"/>
      <c r="B335" s="257"/>
      <c r="C335" s="173"/>
      <c r="D335" s="175"/>
      <c r="E335" s="261"/>
      <c r="F335" s="261"/>
      <c r="G335" s="136">
        <f t="shared" si="19"/>
        <v>1052.4399999999762</v>
      </c>
      <c r="H335" s="130"/>
      <c r="I335" s="328">
        <f t="shared" si="21"/>
        <v>0</v>
      </c>
      <c r="J335" s="329"/>
      <c r="K335" s="329"/>
      <c r="L335" s="333"/>
    </row>
    <row r="336" spans="1:12" ht="15" hidden="1" customHeight="1" x14ac:dyDescent="0.25">
      <c r="A336" s="335"/>
      <c r="B336" s="257"/>
      <c r="C336" s="173"/>
      <c r="D336" s="175"/>
      <c r="E336" s="261"/>
      <c r="F336" s="261"/>
      <c r="G336" s="136">
        <f t="shared" si="19"/>
        <v>1052.4399999999762</v>
      </c>
      <c r="H336" s="130"/>
      <c r="I336" s="328">
        <f t="shared" si="21"/>
        <v>0</v>
      </c>
      <c r="J336" s="329"/>
      <c r="K336" s="329"/>
      <c r="L336" s="333"/>
    </row>
    <row r="337" spans="1:12" ht="15" hidden="1" customHeight="1" x14ac:dyDescent="0.25">
      <c r="A337" s="335"/>
      <c r="B337" s="257"/>
      <c r="C337" s="173"/>
      <c r="D337" s="175"/>
      <c r="E337" s="261"/>
      <c r="F337" s="261"/>
      <c r="G337" s="136">
        <f t="shared" ref="G337:G431" si="22">+G336+E337-F337</f>
        <v>1052.4399999999762</v>
      </c>
      <c r="H337" s="130"/>
      <c r="I337" s="328">
        <f t="shared" si="21"/>
        <v>0</v>
      </c>
      <c r="J337" s="329"/>
      <c r="K337" s="329"/>
      <c r="L337" s="333"/>
    </row>
    <row r="338" spans="1:12" ht="15" hidden="1" customHeight="1" x14ac:dyDescent="0.25">
      <c r="A338" s="335"/>
      <c r="B338" s="257"/>
      <c r="C338" s="173"/>
      <c r="D338" s="175"/>
      <c r="E338" s="261"/>
      <c r="F338" s="261"/>
      <c r="G338" s="136">
        <f t="shared" si="22"/>
        <v>1052.4399999999762</v>
      </c>
      <c r="H338" s="130"/>
      <c r="I338" s="328">
        <f t="shared" si="21"/>
        <v>0</v>
      </c>
      <c r="J338" s="329"/>
      <c r="K338" s="329"/>
      <c r="L338" s="333"/>
    </row>
    <row r="339" spans="1:12" ht="15" hidden="1" customHeight="1" x14ac:dyDescent="0.25">
      <c r="A339" s="335"/>
      <c r="B339" s="257"/>
      <c r="C339" s="173"/>
      <c r="D339" s="175"/>
      <c r="E339" s="261"/>
      <c r="F339" s="261"/>
      <c r="G339" s="136">
        <f t="shared" si="22"/>
        <v>1052.4399999999762</v>
      </c>
      <c r="H339" s="130"/>
      <c r="I339" s="328">
        <f t="shared" si="21"/>
        <v>0</v>
      </c>
      <c r="J339" s="329"/>
      <c r="K339" s="329"/>
      <c r="L339" s="333"/>
    </row>
    <row r="340" spans="1:12" ht="15" hidden="1" customHeight="1" x14ac:dyDescent="0.25">
      <c r="A340" s="335"/>
      <c r="B340" s="257"/>
      <c r="C340" s="173"/>
      <c r="D340" s="175"/>
      <c r="E340" s="261"/>
      <c r="F340" s="261"/>
      <c r="G340" s="136">
        <f t="shared" si="22"/>
        <v>1052.4399999999762</v>
      </c>
      <c r="H340" s="130"/>
      <c r="I340" s="328">
        <f t="shared" si="21"/>
        <v>0</v>
      </c>
      <c r="J340" s="329"/>
      <c r="K340" s="329"/>
      <c r="L340" s="333"/>
    </row>
    <row r="341" spans="1:12" ht="15" hidden="1" customHeight="1" x14ac:dyDescent="0.25">
      <c r="A341" s="335"/>
      <c r="B341" s="257"/>
      <c r="C341" s="173"/>
      <c r="D341" s="175"/>
      <c r="E341" s="261"/>
      <c r="F341" s="261"/>
      <c r="G341" s="136">
        <f t="shared" si="22"/>
        <v>1052.4399999999762</v>
      </c>
      <c r="H341" s="130"/>
      <c r="I341" s="328">
        <f t="shared" si="21"/>
        <v>0</v>
      </c>
      <c r="J341" s="329"/>
      <c r="K341" s="329"/>
      <c r="L341" s="333"/>
    </row>
    <row r="342" spans="1:12" ht="15" hidden="1" customHeight="1" x14ac:dyDescent="0.25">
      <c r="A342" s="335"/>
      <c r="B342" s="257"/>
      <c r="C342" s="173"/>
      <c r="D342" s="175"/>
      <c r="E342" s="261"/>
      <c r="F342" s="261"/>
      <c r="G342" s="136">
        <f t="shared" si="22"/>
        <v>1052.4399999999762</v>
      </c>
      <c r="H342" s="130"/>
      <c r="I342" s="328">
        <f t="shared" si="21"/>
        <v>0</v>
      </c>
      <c r="J342" s="329"/>
      <c r="K342" s="329"/>
      <c r="L342" s="333"/>
    </row>
    <row r="343" spans="1:12" ht="15" hidden="1" customHeight="1" x14ac:dyDescent="0.25">
      <c r="A343" s="335"/>
      <c r="B343" s="257"/>
      <c r="C343" s="173"/>
      <c r="D343" s="175"/>
      <c r="E343" s="261"/>
      <c r="F343" s="261"/>
      <c r="G343" s="136">
        <f t="shared" si="22"/>
        <v>1052.4399999999762</v>
      </c>
      <c r="H343" s="130"/>
      <c r="I343" s="328">
        <f t="shared" si="21"/>
        <v>0</v>
      </c>
      <c r="J343" s="329"/>
      <c r="K343" s="329"/>
      <c r="L343" s="333"/>
    </row>
    <row r="344" spans="1:12" ht="15" hidden="1" customHeight="1" x14ac:dyDescent="0.25">
      <c r="A344" s="335"/>
      <c r="B344" s="257"/>
      <c r="C344" s="173"/>
      <c r="D344" s="175"/>
      <c r="E344" s="261"/>
      <c r="F344" s="261"/>
      <c r="G344" s="136">
        <f t="shared" si="22"/>
        <v>1052.4399999999762</v>
      </c>
      <c r="H344" s="130"/>
      <c r="I344" s="328">
        <f t="shared" si="21"/>
        <v>0</v>
      </c>
      <c r="J344" s="329"/>
      <c r="K344" s="329"/>
      <c r="L344" s="333"/>
    </row>
    <row r="345" spans="1:12" ht="15" hidden="1" customHeight="1" x14ac:dyDescent="0.25">
      <c r="A345" s="335"/>
      <c r="B345" s="257"/>
      <c r="C345" s="173"/>
      <c r="D345" s="44"/>
      <c r="E345" s="261"/>
      <c r="F345" s="261"/>
      <c r="G345" s="136">
        <f t="shared" si="22"/>
        <v>1052.4399999999762</v>
      </c>
      <c r="H345" s="130"/>
      <c r="I345" s="328">
        <f t="shared" si="21"/>
        <v>0</v>
      </c>
      <c r="J345" s="329"/>
      <c r="K345" s="329"/>
      <c r="L345" s="333"/>
    </row>
    <row r="346" spans="1:12" ht="15" hidden="1" customHeight="1" x14ac:dyDescent="0.25">
      <c r="A346" s="335"/>
      <c r="B346" s="262"/>
      <c r="C346" s="173"/>
      <c r="D346" s="44"/>
      <c r="E346" s="260"/>
      <c r="F346" s="261"/>
      <c r="G346" s="136">
        <f t="shared" si="22"/>
        <v>1052.4399999999762</v>
      </c>
      <c r="H346" s="130"/>
      <c r="I346" s="328">
        <f t="shared" si="21"/>
        <v>0</v>
      </c>
      <c r="J346" s="329"/>
      <c r="K346" s="329"/>
      <c r="L346" s="333"/>
    </row>
    <row r="347" spans="1:12" ht="15" hidden="1" customHeight="1" x14ac:dyDescent="0.25">
      <c r="A347" s="335"/>
      <c r="B347" s="262"/>
      <c r="C347" s="173"/>
      <c r="D347" s="44"/>
      <c r="E347" s="260"/>
      <c r="F347" s="261"/>
      <c r="G347" s="136">
        <f t="shared" si="22"/>
        <v>1052.4399999999762</v>
      </c>
      <c r="H347" s="130"/>
      <c r="I347" s="328">
        <f t="shared" si="21"/>
        <v>0</v>
      </c>
      <c r="J347" s="329"/>
      <c r="K347" s="329"/>
      <c r="L347" s="333"/>
    </row>
    <row r="348" spans="1:12" ht="15" hidden="1" customHeight="1" x14ac:dyDescent="0.25">
      <c r="A348" s="335"/>
      <c r="B348" s="262"/>
      <c r="C348" s="173"/>
      <c r="D348" s="175"/>
      <c r="E348" s="260"/>
      <c r="F348" s="261"/>
      <c r="G348" s="136">
        <f t="shared" si="22"/>
        <v>1052.4399999999762</v>
      </c>
      <c r="H348" s="130"/>
      <c r="I348" s="328">
        <f t="shared" si="21"/>
        <v>0</v>
      </c>
      <c r="J348" s="329"/>
      <c r="K348" s="329"/>
      <c r="L348" s="333"/>
    </row>
    <row r="349" spans="1:12" ht="15" hidden="1" customHeight="1" x14ac:dyDescent="0.25">
      <c r="A349" s="335"/>
      <c r="B349" s="262"/>
      <c r="C349" s="173"/>
      <c r="D349" s="44"/>
      <c r="E349" s="260"/>
      <c r="F349" s="261"/>
      <c r="G349" s="136">
        <f t="shared" si="22"/>
        <v>1052.4399999999762</v>
      </c>
      <c r="H349" s="130"/>
      <c r="I349" s="328">
        <f t="shared" si="21"/>
        <v>0</v>
      </c>
      <c r="J349" s="329"/>
      <c r="K349" s="329"/>
      <c r="L349" s="333"/>
    </row>
    <row r="350" spans="1:12" ht="15" hidden="1" customHeight="1" x14ac:dyDescent="0.25">
      <c r="A350" s="335"/>
      <c r="B350" s="262"/>
      <c r="C350" s="173"/>
      <c r="D350" s="44"/>
      <c r="E350" s="260"/>
      <c r="F350" s="261"/>
      <c r="G350" s="136">
        <f t="shared" si="22"/>
        <v>1052.4399999999762</v>
      </c>
      <c r="H350" s="130"/>
      <c r="I350" s="328">
        <f t="shared" si="21"/>
        <v>0</v>
      </c>
      <c r="J350" s="329"/>
      <c r="K350" s="329"/>
      <c r="L350" s="333"/>
    </row>
    <row r="351" spans="1:12" ht="15" hidden="1" customHeight="1" x14ac:dyDescent="0.25">
      <c r="A351" s="335"/>
      <c r="B351" s="262"/>
      <c r="C351" s="173"/>
      <c r="D351" s="44"/>
      <c r="E351" s="260"/>
      <c r="F351" s="261"/>
      <c r="G351" s="136">
        <f t="shared" si="22"/>
        <v>1052.4399999999762</v>
      </c>
      <c r="H351" s="130"/>
      <c r="I351" s="328">
        <f t="shared" si="21"/>
        <v>0</v>
      </c>
      <c r="J351" s="329"/>
      <c r="K351" s="329"/>
      <c r="L351" s="333"/>
    </row>
    <row r="352" spans="1:12" ht="15" hidden="1" customHeight="1" x14ac:dyDescent="0.25">
      <c r="A352" s="335"/>
      <c r="B352" s="262"/>
      <c r="C352" s="173"/>
      <c r="D352" s="175"/>
      <c r="E352" s="260"/>
      <c r="F352" s="261"/>
      <c r="G352" s="136">
        <f t="shared" si="22"/>
        <v>1052.4399999999762</v>
      </c>
      <c r="H352" s="130"/>
      <c r="I352" s="328">
        <f t="shared" si="21"/>
        <v>0</v>
      </c>
      <c r="J352" s="329"/>
      <c r="K352" s="329"/>
      <c r="L352" s="333"/>
    </row>
    <row r="353" spans="1:12" ht="15" hidden="1" customHeight="1" x14ac:dyDescent="0.25">
      <c r="A353" s="335"/>
      <c r="B353" s="262"/>
      <c r="C353" s="173"/>
      <c r="D353" s="44"/>
      <c r="E353" s="260"/>
      <c r="F353" s="261"/>
      <c r="G353" s="136">
        <f t="shared" si="22"/>
        <v>1052.4399999999762</v>
      </c>
      <c r="H353" s="130"/>
      <c r="I353" s="328">
        <f t="shared" si="21"/>
        <v>0</v>
      </c>
      <c r="J353" s="329"/>
      <c r="K353" s="329"/>
      <c r="L353" s="333"/>
    </row>
    <row r="354" spans="1:12" ht="15" hidden="1" customHeight="1" x14ac:dyDescent="0.25">
      <c r="A354" s="335"/>
      <c r="B354" s="262"/>
      <c r="C354" s="173"/>
      <c r="D354" s="175"/>
      <c r="E354" s="260"/>
      <c r="F354" s="261"/>
      <c r="G354" s="136">
        <f t="shared" si="22"/>
        <v>1052.4399999999762</v>
      </c>
      <c r="H354" s="130"/>
      <c r="I354" s="328">
        <f t="shared" si="21"/>
        <v>0</v>
      </c>
      <c r="J354" s="329"/>
      <c r="K354" s="329"/>
      <c r="L354" s="333"/>
    </row>
    <row r="355" spans="1:12" ht="15" hidden="1" customHeight="1" x14ac:dyDescent="0.25">
      <c r="A355" s="335"/>
      <c r="B355" s="262"/>
      <c r="C355" s="173"/>
      <c r="D355" s="44"/>
      <c r="E355" s="260"/>
      <c r="F355" s="261"/>
      <c r="G355" s="136">
        <f t="shared" si="22"/>
        <v>1052.4399999999762</v>
      </c>
      <c r="H355" s="130"/>
      <c r="I355" s="328">
        <f t="shared" si="21"/>
        <v>0</v>
      </c>
      <c r="J355" s="329"/>
      <c r="K355" s="329"/>
      <c r="L355" s="333"/>
    </row>
    <row r="356" spans="1:12" ht="15" hidden="1" customHeight="1" x14ac:dyDescent="0.25">
      <c r="A356" s="335"/>
      <c r="B356" s="262"/>
      <c r="C356" s="173"/>
      <c r="D356" s="175"/>
      <c r="E356" s="260"/>
      <c r="F356" s="261"/>
      <c r="G356" s="136">
        <f t="shared" si="22"/>
        <v>1052.4399999999762</v>
      </c>
      <c r="H356" s="130"/>
      <c r="I356" s="328">
        <f t="shared" si="21"/>
        <v>0</v>
      </c>
      <c r="J356" s="329"/>
      <c r="K356" s="329"/>
      <c r="L356" s="333"/>
    </row>
    <row r="357" spans="1:12" ht="15" hidden="1" customHeight="1" x14ac:dyDescent="0.25">
      <c r="A357" s="335"/>
      <c r="B357" s="262"/>
      <c r="C357" s="173"/>
      <c r="D357" s="175"/>
      <c r="E357" s="260"/>
      <c r="F357" s="261"/>
      <c r="G357" s="136">
        <f t="shared" si="22"/>
        <v>1052.4399999999762</v>
      </c>
      <c r="H357" s="130"/>
      <c r="I357" s="328">
        <f t="shared" si="21"/>
        <v>0</v>
      </c>
      <c r="J357" s="329"/>
      <c r="K357" s="329"/>
      <c r="L357" s="333"/>
    </row>
    <row r="358" spans="1:12" ht="15" hidden="1" customHeight="1" x14ac:dyDescent="0.25">
      <c r="A358" s="335"/>
      <c r="B358" s="262"/>
      <c r="C358" s="173"/>
      <c r="D358" s="175"/>
      <c r="E358" s="260"/>
      <c r="F358" s="261"/>
      <c r="G358" s="136">
        <f t="shared" si="22"/>
        <v>1052.4399999999762</v>
      </c>
      <c r="H358" s="130"/>
      <c r="I358" s="328">
        <f t="shared" si="21"/>
        <v>0</v>
      </c>
      <c r="J358" s="329"/>
      <c r="K358" s="329"/>
      <c r="L358" s="333"/>
    </row>
    <row r="359" spans="1:12" ht="15" hidden="1" customHeight="1" x14ac:dyDescent="0.25">
      <c r="A359" s="335"/>
      <c r="B359" s="262"/>
      <c r="C359" s="173"/>
      <c r="D359" s="175"/>
      <c r="E359" s="260"/>
      <c r="F359" s="261"/>
      <c r="G359" s="136">
        <f t="shared" si="22"/>
        <v>1052.4399999999762</v>
      </c>
      <c r="H359" s="130"/>
      <c r="I359" s="328">
        <f t="shared" si="21"/>
        <v>0</v>
      </c>
      <c r="J359" s="329"/>
      <c r="K359" s="329"/>
      <c r="L359" s="333"/>
    </row>
    <row r="360" spans="1:12" ht="15" hidden="1" customHeight="1" x14ac:dyDescent="0.25">
      <c r="A360" s="335"/>
      <c r="B360" s="262"/>
      <c r="C360" s="173"/>
      <c r="D360" s="175"/>
      <c r="E360" s="260"/>
      <c r="F360" s="261"/>
      <c r="G360" s="136">
        <f t="shared" si="22"/>
        <v>1052.4399999999762</v>
      </c>
      <c r="H360" s="130"/>
      <c r="I360" s="328">
        <f t="shared" si="21"/>
        <v>0</v>
      </c>
      <c r="J360" s="329"/>
      <c r="K360" s="329"/>
      <c r="L360" s="333"/>
    </row>
    <row r="361" spans="1:12" ht="15" hidden="1" customHeight="1" x14ac:dyDescent="0.25">
      <c r="A361" s="335"/>
      <c r="B361" s="262"/>
      <c r="C361" s="173"/>
      <c r="D361" s="175"/>
      <c r="E361" s="260"/>
      <c r="F361" s="261"/>
      <c r="G361" s="136">
        <f t="shared" si="22"/>
        <v>1052.4399999999762</v>
      </c>
      <c r="H361" s="130"/>
      <c r="I361" s="328">
        <f t="shared" si="21"/>
        <v>0</v>
      </c>
      <c r="J361" s="329"/>
      <c r="K361" s="329"/>
      <c r="L361" s="333"/>
    </row>
    <row r="362" spans="1:12" ht="15" hidden="1" customHeight="1" x14ac:dyDescent="0.25">
      <c r="A362" s="335"/>
      <c r="B362" s="262"/>
      <c r="C362" s="173"/>
      <c r="D362" s="175"/>
      <c r="E362" s="260"/>
      <c r="F362" s="261"/>
      <c r="G362" s="136">
        <f t="shared" si="22"/>
        <v>1052.4399999999762</v>
      </c>
      <c r="H362" s="130"/>
      <c r="I362" s="328">
        <f t="shared" si="21"/>
        <v>0</v>
      </c>
      <c r="J362" s="329"/>
      <c r="K362" s="329"/>
      <c r="L362" s="333"/>
    </row>
    <row r="363" spans="1:12" ht="15" hidden="1" customHeight="1" x14ac:dyDescent="0.25">
      <c r="A363" s="335"/>
      <c r="B363" s="262"/>
      <c r="C363" s="173"/>
      <c r="D363" s="175"/>
      <c r="E363" s="260"/>
      <c r="F363" s="261"/>
      <c r="G363" s="136">
        <f t="shared" si="22"/>
        <v>1052.4399999999762</v>
      </c>
      <c r="H363" s="130"/>
      <c r="I363" s="328">
        <f t="shared" si="21"/>
        <v>0</v>
      </c>
      <c r="J363" s="329"/>
      <c r="K363" s="329"/>
      <c r="L363" s="333"/>
    </row>
    <row r="364" spans="1:12" ht="15" hidden="1" customHeight="1" x14ac:dyDescent="0.25">
      <c r="A364" s="335"/>
      <c r="B364" s="262"/>
      <c r="C364" s="173"/>
      <c r="D364" s="175"/>
      <c r="E364" s="260"/>
      <c r="F364" s="261"/>
      <c r="G364" s="136">
        <f t="shared" si="22"/>
        <v>1052.4399999999762</v>
      </c>
      <c r="H364" s="130"/>
      <c r="I364" s="328">
        <f t="shared" si="21"/>
        <v>0</v>
      </c>
      <c r="J364" s="329"/>
      <c r="K364" s="329"/>
      <c r="L364" s="333"/>
    </row>
    <row r="365" spans="1:12" ht="15" hidden="1" customHeight="1" x14ac:dyDescent="0.25">
      <c r="A365" s="335"/>
      <c r="B365" s="262"/>
      <c r="C365" s="173"/>
      <c r="D365" s="175"/>
      <c r="E365" s="260"/>
      <c r="F365" s="261"/>
      <c r="G365" s="136">
        <f t="shared" si="22"/>
        <v>1052.4399999999762</v>
      </c>
      <c r="H365" s="130"/>
      <c r="I365" s="328">
        <f t="shared" si="21"/>
        <v>0</v>
      </c>
      <c r="J365" s="329"/>
      <c r="K365" s="329"/>
      <c r="L365" s="333"/>
    </row>
    <row r="366" spans="1:12" ht="15" hidden="1" customHeight="1" x14ac:dyDescent="0.25">
      <c r="A366" s="335"/>
      <c r="B366" s="262"/>
      <c r="C366" s="173"/>
      <c r="D366" s="175"/>
      <c r="E366" s="260"/>
      <c r="F366" s="261"/>
      <c r="G366" s="136">
        <f t="shared" si="22"/>
        <v>1052.4399999999762</v>
      </c>
      <c r="H366" s="130"/>
      <c r="I366" s="328">
        <f t="shared" si="21"/>
        <v>0</v>
      </c>
      <c r="J366" s="329"/>
      <c r="K366" s="329"/>
      <c r="L366" s="333"/>
    </row>
    <row r="367" spans="1:12" ht="15" hidden="1" customHeight="1" x14ac:dyDescent="0.25">
      <c r="A367" s="335"/>
      <c r="B367" s="262"/>
      <c r="C367" s="173"/>
      <c r="D367" s="175"/>
      <c r="E367" s="260"/>
      <c r="F367" s="261"/>
      <c r="G367" s="136">
        <f t="shared" si="22"/>
        <v>1052.4399999999762</v>
      </c>
      <c r="H367" s="130"/>
      <c r="I367" s="328">
        <f t="shared" si="21"/>
        <v>0</v>
      </c>
      <c r="J367" s="329"/>
      <c r="K367" s="329"/>
      <c r="L367" s="333"/>
    </row>
    <row r="368" spans="1:12" ht="15" hidden="1" customHeight="1" x14ac:dyDescent="0.25">
      <c r="A368" s="335"/>
      <c r="B368" s="262"/>
      <c r="C368" s="173"/>
      <c r="D368" s="175"/>
      <c r="E368" s="260"/>
      <c r="F368" s="261"/>
      <c r="G368" s="136">
        <f t="shared" si="22"/>
        <v>1052.4399999999762</v>
      </c>
      <c r="H368" s="130"/>
      <c r="I368" s="328">
        <f t="shared" si="21"/>
        <v>0</v>
      </c>
      <c r="J368" s="329"/>
      <c r="K368" s="329"/>
      <c r="L368" s="333"/>
    </row>
    <row r="369" spans="1:12" ht="15" hidden="1" customHeight="1" x14ac:dyDescent="0.25">
      <c r="A369" s="335"/>
      <c r="B369" s="262"/>
      <c r="C369" s="173"/>
      <c r="D369" s="175"/>
      <c r="E369" s="260"/>
      <c r="F369" s="261"/>
      <c r="G369" s="136">
        <f t="shared" si="22"/>
        <v>1052.4399999999762</v>
      </c>
      <c r="H369" s="130"/>
      <c r="I369" s="328">
        <f t="shared" si="21"/>
        <v>0</v>
      </c>
      <c r="J369" s="329"/>
      <c r="K369" s="329"/>
      <c r="L369" s="333"/>
    </row>
    <row r="370" spans="1:12" ht="15" hidden="1" customHeight="1" x14ac:dyDescent="0.25">
      <c r="A370" s="335"/>
      <c r="B370" s="262"/>
      <c r="C370" s="173"/>
      <c r="D370" s="175"/>
      <c r="E370" s="260"/>
      <c r="F370" s="261"/>
      <c r="G370" s="136">
        <f t="shared" si="22"/>
        <v>1052.4399999999762</v>
      </c>
      <c r="H370" s="130"/>
      <c r="I370" s="328">
        <f t="shared" si="21"/>
        <v>0</v>
      </c>
      <c r="J370" s="329"/>
      <c r="K370" s="329"/>
      <c r="L370" s="333"/>
    </row>
    <row r="371" spans="1:12" ht="15" hidden="1" customHeight="1" x14ac:dyDescent="0.25">
      <c r="A371" s="335"/>
      <c r="B371" s="262"/>
      <c r="C371" s="173"/>
      <c r="D371" s="175"/>
      <c r="E371" s="260"/>
      <c r="F371" s="261"/>
      <c r="G371" s="136">
        <f t="shared" si="22"/>
        <v>1052.4399999999762</v>
      </c>
      <c r="H371" s="130"/>
      <c r="I371" s="328">
        <f t="shared" si="21"/>
        <v>0</v>
      </c>
      <c r="J371" s="329"/>
      <c r="K371" s="329"/>
      <c r="L371" s="333"/>
    </row>
    <row r="372" spans="1:12" ht="15" hidden="1" customHeight="1" x14ac:dyDescent="0.25">
      <c r="A372" s="335"/>
      <c r="B372" s="262"/>
      <c r="C372" s="173"/>
      <c r="D372" s="175"/>
      <c r="E372" s="260"/>
      <c r="F372" s="261"/>
      <c r="G372" s="136">
        <f t="shared" si="22"/>
        <v>1052.4399999999762</v>
      </c>
      <c r="H372" s="130"/>
      <c r="I372" s="328">
        <f t="shared" si="21"/>
        <v>0</v>
      </c>
      <c r="J372" s="329"/>
      <c r="K372" s="329"/>
      <c r="L372" s="333"/>
    </row>
    <row r="373" spans="1:12" ht="15" hidden="1" customHeight="1" x14ac:dyDescent="0.25">
      <c r="A373" s="335"/>
      <c r="B373" s="262"/>
      <c r="C373" s="173"/>
      <c r="D373" s="175"/>
      <c r="E373" s="260"/>
      <c r="F373" s="261"/>
      <c r="G373" s="136">
        <f t="shared" si="22"/>
        <v>1052.4399999999762</v>
      </c>
      <c r="H373" s="130"/>
      <c r="I373" s="328">
        <f t="shared" si="21"/>
        <v>0</v>
      </c>
      <c r="J373" s="329"/>
      <c r="K373" s="329"/>
      <c r="L373" s="333"/>
    </row>
    <row r="374" spans="1:12" ht="15" hidden="1" customHeight="1" x14ac:dyDescent="0.25">
      <c r="A374" s="335"/>
      <c r="B374" s="262"/>
      <c r="C374" s="173"/>
      <c r="D374" s="175"/>
      <c r="E374" s="260"/>
      <c r="F374" s="261"/>
      <c r="G374" s="136">
        <f t="shared" si="22"/>
        <v>1052.4399999999762</v>
      </c>
      <c r="H374" s="130"/>
      <c r="I374" s="328">
        <f t="shared" si="21"/>
        <v>0</v>
      </c>
      <c r="J374" s="329"/>
      <c r="K374" s="329"/>
      <c r="L374" s="333"/>
    </row>
    <row r="375" spans="1:12" ht="15" hidden="1" customHeight="1" x14ac:dyDescent="0.25">
      <c r="A375" s="335"/>
      <c r="B375" s="262"/>
      <c r="C375" s="173"/>
      <c r="D375" s="175"/>
      <c r="E375" s="260"/>
      <c r="F375" s="261"/>
      <c r="G375" s="136">
        <f t="shared" si="22"/>
        <v>1052.4399999999762</v>
      </c>
      <c r="H375" s="130"/>
      <c r="I375" s="328">
        <f t="shared" si="21"/>
        <v>0</v>
      </c>
      <c r="J375" s="329"/>
      <c r="K375" s="329"/>
      <c r="L375" s="333"/>
    </row>
    <row r="376" spans="1:12" ht="15" hidden="1" customHeight="1" x14ac:dyDescent="0.25">
      <c r="A376" s="335"/>
      <c r="B376" s="262"/>
      <c r="C376" s="173"/>
      <c r="D376" s="175"/>
      <c r="E376" s="260"/>
      <c r="F376" s="261"/>
      <c r="G376" s="136">
        <f t="shared" si="22"/>
        <v>1052.4399999999762</v>
      </c>
      <c r="H376" s="130"/>
      <c r="I376" s="328">
        <f t="shared" si="21"/>
        <v>0</v>
      </c>
      <c r="J376" s="329"/>
      <c r="K376" s="329"/>
      <c r="L376" s="333"/>
    </row>
    <row r="377" spans="1:12" ht="15" hidden="1" customHeight="1" x14ac:dyDescent="0.25">
      <c r="A377" s="335"/>
      <c r="B377" s="262"/>
      <c r="C377" s="173"/>
      <c r="D377" s="175"/>
      <c r="E377" s="260"/>
      <c r="F377" s="261"/>
      <c r="G377" s="136">
        <f t="shared" si="22"/>
        <v>1052.4399999999762</v>
      </c>
      <c r="H377" s="130"/>
      <c r="I377" s="328">
        <f t="shared" si="21"/>
        <v>0</v>
      </c>
      <c r="J377" s="329"/>
      <c r="K377" s="329"/>
      <c r="L377" s="333"/>
    </row>
    <row r="378" spans="1:12" ht="15" hidden="1" customHeight="1" x14ac:dyDescent="0.25">
      <c r="A378" s="335"/>
      <c r="B378" s="262"/>
      <c r="C378" s="173"/>
      <c r="D378" s="175"/>
      <c r="E378" s="260"/>
      <c r="F378" s="261"/>
      <c r="G378" s="136">
        <f t="shared" si="22"/>
        <v>1052.4399999999762</v>
      </c>
      <c r="H378" s="130"/>
      <c r="I378" s="328">
        <f t="shared" si="21"/>
        <v>0</v>
      </c>
      <c r="J378" s="329"/>
      <c r="K378" s="329"/>
      <c r="L378" s="333"/>
    </row>
    <row r="379" spans="1:12" ht="15" hidden="1" customHeight="1" x14ac:dyDescent="0.25">
      <c r="A379" s="335"/>
      <c r="B379" s="262"/>
      <c r="C379" s="173"/>
      <c r="D379" s="175"/>
      <c r="E379" s="260"/>
      <c r="F379" s="261"/>
      <c r="G379" s="136">
        <f t="shared" si="22"/>
        <v>1052.4399999999762</v>
      </c>
      <c r="H379" s="130"/>
      <c r="I379" s="328">
        <f t="shared" si="21"/>
        <v>0</v>
      </c>
      <c r="J379" s="329"/>
      <c r="K379" s="329"/>
      <c r="L379" s="333"/>
    </row>
    <row r="380" spans="1:12" ht="15" hidden="1" customHeight="1" x14ac:dyDescent="0.25">
      <c r="A380" s="335"/>
      <c r="B380" s="262"/>
      <c r="C380" s="173"/>
      <c r="D380" s="175"/>
      <c r="E380" s="260"/>
      <c r="F380" s="261"/>
      <c r="G380" s="136">
        <f t="shared" si="22"/>
        <v>1052.4399999999762</v>
      </c>
      <c r="H380" s="130"/>
      <c r="I380" s="328">
        <f t="shared" si="21"/>
        <v>0</v>
      </c>
      <c r="J380" s="329"/>
      <c r="K380" s="329"/>
      <c r="L380" s="333"/>
    </row>
    <row r="381" spans="1:12" ht="15" hidden="1" customHeight="1" x14ac:dyDescent="0.25">
      <c r="A381" s="335"/>
      <c r="B381" s="262"/>
      <c r="C381" s="173"/>
      <c r="D381" s="175"/>
      <c r="E381" s="260"/>
      <c r="F381" s="261"/>
      <c r="G381" s="136">
        <f t="shared" si="22"/>
        <v>1052.4399999999762</v>
      </c>
      <c r="H381" s="130"/>
      <c r="I381" s="328">
        <f t="shared" si="21"/>
        <v>0</v>
      </c>
      <c r="J381" s="329"/>
      <c r="K381" s="329"/>
      <c r="L381" s="333"/>
    </row>
    <row r="382" spans="1:12" ht="15" hidden="1" customHeight="1" x14ac:dyDescent="0.25">
      <c r="A382" s="335"/>
      <c r="B382" s="262"/>
      <c r="C382" s="173"/>
      <c r="D382" s="175"/>
      <c r="E382" s="260"/>
      <c r="F382" s="261"/>
      <c r="G382" s="136">
        <f t="shared" si="22"/>
        <v>1052.4399999999762</v>
      </c>
      <c r="H382" s="130"/>
      <c r="I382" s="328">
        <f t="shared" si="21"/>
        <v>0</v>
      </c>
      <c r="J382" s="329"/>
      <c r="K382" s="329"/>
      <c r="L382" s="333"/>
    </row>
    <row r="383" spans="1:12" ht="15" hidden="1" customHeight="1" x14ac:dyDescent="0.25">
      <c r="A383" s="335"/>
      <c r="B383" s="262"/>
      <c r="C383" s="173"/>
      <c r="D383" s="44"/>
      <c r="E383" s="260"/>
      <c r="F383" s="261"/>
      <c r="G383" s="136">
        <f t="shared" si="22"/>
        <v>1052.4399999999762</v>
      </c>
      <c r="H383" s="130"/>
      <c r="I383" s="328">
        <f t="shared" si="21"/>
        <v>0</v>
      </c>
      <c r="J383" s="329"/>
      <c r="K383" s="329"/>
      <c r="L383" s="333"/>
    </row>
    <row r="384" spans="1:12" ht="15" hidden="1" customHeight="1" x14ac:dyDescent="0.25">
      <c r="A384" s="335"/>
      <c r="B384" s="262"/>
      <c r="C384" s="173"/>
      <c r="D384" s="175"/>
      <c r="E384" s="260"/>
      <c r="F384" s="261"/>
      <c r="G384" s="136">
        <f t="shared" si="22"/>
        <v>1052.4399999999762</v>
      </c>
      <c r="H384" s="130"/>
      <c r="I384" s="328">
        <f t="shared" si="21"/>
        <v>0</v>
      </c>
      <c r="J384" s="329"/>
      <c r="K384" s="329"/>
      <c r="L384" s="333"/>
    </row>
    <row r="385" spans="1:12" ht="15" hidden="1" customHeight="1" x14ac:dyDescent="0.25">
      <c r="A385" s="335"/>
      <c r="B385" s="262"/>
      <c r="C385" s="173"/>
      <c r="D385" s="175"/>
      <c r="E385" s="260"/>
      <c r="F385" s="261"/>
      <c r="G385" s="136">
        <f t="shared" si="22"/>
        <v>1052.4399999999762</v>
      </c>
      <c r="H385" s="130"/>
      <c r="I385" s="328">
        <f t="shared" si="21"/>
        <v>0</v>
      </c>
      <c r="J385" s="329"/>
      <c r="K385" s="329"/>
      <c r="L385" s="333"/>
    </row>
    <row r="386" spans="1:12" ht="15" hidden="1" customHeight="1" x14ac:dyDescent="0.25">
      <c r="A386" s="335"/>
      <c r="B386" s="262"/>
      <c r="C386" s="173"/>
      <c r="D386" s="44"/>
      <c r="E386" s="260"/>
      <c r="F386" s="261"/>
      <c r="G386" s="136">
        <f t="shared" si="22"/>
        <v>1052.4399999999762</v>
      </c>
      <c r="H386" s="130"/>
      <c r="I386" s="328">
        <f t="shared" si="21"/>
        <v>0</v>
      </c>
      <c r="J386" s="329"/>
      <c r="K386" s="329"/>
      <c r="L386" s="333"/>
    </row>
    <row r="387" spans="1:12" ht="15" hidden="1" customHeight="1" x14ac:dyDescent="0.25">
      <c r="A387" s="335"/>
      <c r="B387" s="262"/>
      <c r="C387" s="173"/>
      <c r="D387" s="44"/>
      <c r="E387" s="260"/>
      <c r="F387" s="261"/>
      <c r="G387" s="136">
        <f t="shared" si="22"/>
        <v>1052.4399999999762</v>
      </c>
      <c r="H387" s="130"/>
      <c r="I387" s="328">
        <f t="shared" si="21"/>
        <v>0</v>
      </c>
      <c r="J387" s="329"/>
      <c r="K387" s="329"/>
      <c r="L387" s="333"/>
    </row>
    <row r="388" spans="1:12" ht="15" hidden="1" customHeight="1" x14ac:dyDescent="0.25">
      <c r="A388" s="335"/>
      <c r="B388" s="262"/>
      <c r="C388" s="173"/>
      <c r="D388" s="175"/>
      <c r="E388" s="260"/>
      <c r="F388" s="261"/>
      <c r="G388" s="136">
        <f t="shared" si="22"/>
        <v>1052.4399999999762</v>
      </c>
      <c r="H388" s="130"/>
      <c r="I388" s="328">
        <f t="shared" si="21"/>
        <v>0</v>
      </c>
      <c r="J388" s="329"/>
      <c r="K388" s="329"/>
      <c r="L388" s="333"/>
    </row>
    <row r="389" spans="1:12" ht="15" hidden="1" customHeight="1" x14ac:dyDescent="0.25">
      <c r="A389" s="335"/>
      <c r="B389" s="262"/>
      <c r="C389" s="173"/>
      <c r="D389" s="44"/>
      <c r="E389" s="260"/>
      <c r="F389" s="261"/>
      <c r="G389" s="136">
        <f t="shared" si="22"/>
        <v>1052.4399999999762</v>
      </c>
      <c r="H389" s="130"/>
      <c r="I389" s="328">
        <f t="shared" si="21"/>
        <v>0</v>
      </c>
      <c r="J389" s="329"/>
      <c r="K389" s="329"/>
      <c r="L389" s="333"/>
    </row>
    <row r="390" spans="1:12" ht="15" hidden="1" customHeight="1" x14ac:dyDescent="0.25">
      <c r="A390" s="335"/>
      <c r="B390" s="262"/>
      <c r="C390" s="173"/>
      <c r="D390" s="44"/>
      <c r="E390" s="260"/>
      <c r="F390" s="261"/>
      <c r="G390" s="136">
        <f t="shared" si="22"/>
        <v>1052.4399999999762</v>
      </c>
      <c r="H390" s="130"/>
      <c r="I390" s="328">
        <f t="shared" si="21"/>
        <v>0</v>
      </c>
      <c r="J390" s="329"/>
      <c r="K390" s="329"/>
      <c r="L390" s="333"/>
    </row>
    <row r="391" spans="1:12" ht="15" hidden="1" customHeight="1" x14ac:dyDescent="0.25">
      <c r="A391" s="335"/>
      <c r="B391" s="262"/>
      <c r="C391" s="173"/>
      <c r="D391" s="175"/>
      <c r="E391" s="260"/>
      <c r="F391" s="261"/>
      <c r="G391" s="136">
        <f t="shared" si="22"/>
        <v>1052.4399999999762</v>
      </c>
      <c r="H391" s="130"/>
      <c r="I391" s="328">
        <f t="shared" si="21"/>
        <v>0</v>
      </c>
      <c r="J391" s="329"/>
      <c r="K391" s="329"/>
      <c r="L391" s="333"/>
    </row>
    <row r="392" spans="1:12" ht="15" hidden="1" customHeight="1" x14ac:dyDescent="0.25">
      <c r="A392" s="335"/>
      <c r="B392" s="262"/>
      <c r="C392" s="173"/>
      <c r="D392" s="175"/>
      <c r="E392" s="260"/>
      <c r="F392" s="261"/>
      <c r="G392" s="136">
        <f t="shared" si="22"/>
        <v>1052.4399999999762</v>
      </c>
      <c r="H392" s="130"/>
      <c r="I392" s="328">
        <f t="shared" si="21"/>
        <v>0</v>
      </c>
      <c r="J392" s="329"/>
      <c r="K392" s="329"/>
      <c r="L392" s="333"/>
    </row>
    <row r="393" spans="1:12" ht="15" hidden="1" customHeight="1" x14ac:dyDescent="0.25">
      <c r="A393" s="335"/>
      <c r="B393" s="262"/>
      <c r="C393" s="173"/>
      <c r="D393" s="175"/>
      <c r="E393" s="260"/>
      <c r="F393" s="261"/>
      <c r="G393" s="136">
        <f t="shared" si="22"/>
        <v>1052.4399999999762</v>
      </c>
      <c r="H393" s="130"/>
      <c r="I393" s="328">
        <f t="shared" si="21"/>
        <v>0</v>
      </c>
      <c r="J393" s="329"/>
      <c r="K393" s="329"/>
      <c r="L393" s="333"/>
    </row>
    <row r="394" spans="1:12" ht="15" hidden="1" customHeight="1" x14ac:dyDescent="0.25">
      <c r="A394" s="335"/>
      <c r="B394" s="262"/>
      <c r="C394" s="173"/>
      <c r="D394" s="175"/>
      <c r="E394" s="260"/>
      <c r="F394" s="261"/>
      <c r="G394" s="136">
        <f t="shared" si="22"/>
        <v>1052.4399999999762</v>
      </c>
      <c r="H394" s="130"/>
      <c r="I394" s="328">
        <f t="shared" ref="I394:I457" si="23">E394-F394</f>
        <v>0</v>
      </c>
      <c r="J394" s="329"/>
      <c r="K394" s="329"/>
      <c r="L394" s="333"/>
    </row>
    <row r="395" spans="1:12" ht="15" hidden="1" customHeight="1" x14ac:dyDescent="0.25">
      <c r="A395" s="335"/>
      <c r="B395" s="262"/>
      <c r="C395" s="173"/>
      <c r="D395" s="44"/>
      <c r="E395" s="260"/>
      <c r="F395" s="261"/>
      <c r="G395" s="136">
        <f t="shared" si="22"/>
        <v>1052.4399999999762</v>
      </c>
      <c r="H395" s="130"/>
      <c r="I395" s="328">
        <f t="shared" si="23"/>
        <v>0</v>
      </c>
      <c r="J395" s="329"/>
      <c r="K395" s="329"/>
      <c r="L395" s="333"/>
    </row>
    <row r="396" spans="1:12" ht="15" hidden="1" customHeight="1" x14ac:dyDescent="0.25">
      <c r="A396" s="335"/>
      <c r="B396" s="262"/>
      <c r="C396" s="173"/>
      <c r="D396" s="175"/>
      <c r="E396" s="260"/>
      <c r="F396" s="261"/>
      <c r="G396" s="136">
        <f t="shared" si="22"/>
        <v>1052.4399999999762</v>
      </c>
      <c r="H396" s="130"/>
      <c r="I396" s="328">
        <f t="shared" si="23"/>
        <v>0</v>
      </c>
      <c r="J396" s="329"/>
      <c r="K396" s="329"/>
      <c r="L396" s="333"/>
    </row>
    <row r="397" spans="1:12" ht="15" hidden="1" customHeight="1" x14ac:dyDescent="0.25">
      <c r="A397" s="335"/>
      <c r="B397" s="262"/>
      <c r="C397" s="173"/>
      <c r="D397" s="44"/>
      <c r="E397" s="260"/>
      <c r="F397" s="261"/>
      <c r="G397" s="136">
        <f t="shared" si="22"/>
        <v>1052.4399999999762</v>
      </c>
      <c r="H397" s="130"/>
      <c r="I397" s="328">
        <f t="shared" si="23"/>
        <v>0</v>
      </c>
      <c r="J397" s="329"/>
      <c r="K397" s="329"/>
      <c r="L397" s="333"/>
    </row>
    <row r="398" spans="1:12" ht="15" hidden="1" customHeight="1" x14ac:dyDescent="0.25">
      <c r="A398" s="335"/>
      <c r="B398" s="262"/>
      <c r="C398" s="173"/>
      <c r="D398" s="175"/>
      <c r="E398" s="260"/>
      <c r="F398" s="261"/>
      <c r="G398" s="136">
        <f t="shared" si="22"/>
        <v>1052.4399999999762</v>
      </c>
      <c r="H398" s="130"/>
      <c r="I398" s="328">
        <f t="shared" si="23"/>
        <v>0</v>
      </c>
      <c r="J398" s="329"/>
      <c r="K398" s="329"/>
      <c r="L398" s="333"/>
    </row>
    <row r="399" spans="1:12" ht="15" hidden="1" customHeight="1" x14ac:dyDescent="0.25">
      <c r="A399" s="335"/>
      <c r="B399" s="262"/>
      <c r="C399" s="173"/>
      <c r="D399" s="175"/>
      <c r="E399" s="260"/>
      <c r="F399" s="261"/>
      <c r="G399" s="136">
        <f t="shared" si="22"/>
        <v>1052.4399999999762</v>
      </c>
      <c r="H399" s="130"/>
      <c r="I399" s="328">
        <f t="shared" si="23"/>
        <v>0</v>
      </c>
      <c r="J399" s="329"/>
      <c r="K399" s="329"/>
      <c r="L399" s="333"/>
    </row>
    <row r="400" spans="1:12" ht="15" hidden="1" customHeight="1" x14ac:dyDescent="0.25">
      <c r="A400" s="335"/>
      <c r="B400" s="262"/>
      <c r="C400" s="173"/>
      <c r="D400" s="175"/>
      <c r="E400" s="260"/>
      <c r="F400" s="261"/>
      <c r="G400" s="136">
        <f t="shared" si="22"/>
        <v>1052.4399999999762</v>
      </c>
      <c r="H400" s="130"/>
      <c r="I400" s="328">
        <f t="shared" si="23"/>
        <v>0</v>
      </c>
      <c r="J400" s="329"/>
      <c r="K400" s="329"/>
      <c r="L400" s="333"/>
    </row>
    <row r="401" spans="1:12" ht="15" hidden="1" customHeight="1" x14ac:dyDescent="0.25">
      <c r="A401" s="335"/>
      <c r="B401" s="262"/>
      <c r="C401" s="173"/>
      <c r="D401" s="44"/>
      <c r="E401" s="260"/>
      <c r="F401" s="261"/>
      <c r="G401" s="136">
        <f t="shared" si="22"/>
        <v>1052.4399999999762</v>
      </c>
      <c r="H401" s="130"/>
      <c r="I401" s="328">
        <f t="shared" si="23"/>
        <v>0</v>
      </c>
      <c r="J401" s="329"/>
      <c r="K401" s="329"/>
      <c r="L401" s="333"/>
    </row>
    <row r="402" spans="1:12" ht="15" hidden="1" customHeight="1" x14ac:dyDescent="0.25">
      <c r="A402" s="335"/>
      <c r="B402" s="262"/>
      <c r="C402" s="173"/>
      <c r="D402" s="175"/>
      <c r="E402" s="260"/>
      <c r="F402" s="261"/>
      <c r="G402" s="136">
        <f t="shared" si="22"/>
        <v>1052.4399999999762</v>
      </c>
      <c r="H402" s="130"/>
      <c r="I402" s="328">
        <f t="shared" si="23"/>
        <v>0</v>
      </c>
      <c r="J402" s="329"/>
      <c r="K402" s="329"/>
      <c r="L402" s="333"/>
    </row>
    <row r="403" spans="1:12" ht="15" hidden="1" customHeight="1" x14ac:dyDescent="0.25">
      <c r="A403" s="335"/>
      <c r="B403" s="262"/>
      <c r="C403" s="173"/>
      <c r="D403" s="44"/>
      <c r="E403" s="260"/>
      <c r="F403" s="261"/>
      <c r="G403" s="136">
        <f t="shared" si="22"/>
        <v>1052.4399999999762</v>
      </c>
      <c r="H403" s="130"/>
      <c r="I403" s="328">
        <f t="shared" si="23"/>
        <v>0</v>
      </c>
      <c r="J403" s="329"/>
      <c r="K403" s="329"/>
      <c r="L403" s="333"/>
    </row>
    <row r="404" spans="1:12" ht="15" hidden="1" customHeight="1" x14ac:dyDescent="0.25">
      <c r="A404" s="335"/>
      <c r="B404" s="262"/>
      <c r="C404" s="173"/>
      <c r="D404" s="175"/>
      <c r="E404" s="260"/>
      <c r="F404" s="261"/>
      <c r="G404" s="136">
        <f t="shared" si="22"/>
        <v>1052.4399999999762</v>
      </c>
      <c r="H404" s="130"/>
      <c r="I404" s="328">
        <f t="shared" si="23"/>
        <v>0</v>
      </c>
      <c r="J404" s="329"/>
      <c r="K404" s="329"/>
      <c r="L404" s="333"/>
    </row>
    <row r="405" spans="1:12" ht="15" hidden="1" customHeight="1" x14ac:dyDescent="0.25">
      <c r="A405" s="335"/>
      <c r="B405" s="262"/>
      <c r="C405" s="173"/>
      <c r="D405" s="175"/>
      <c r="E405" s="260"/>
      <c r="F405" s="261"/>
      <c r="G405" s="136">
        <f t="shared" si="22"/>
        <v>1052.4399999999762</v>
      </c>
      <c r="H405" s="130"/>
      <c r="I405" s="328">
        <f t="shared" si="23"/>
        <v>0</v>
      </c>
      <c r="J405" s="329"/>
      <c r="K405" s="329"/>
      <c r="L405" s="333"/>
    </row>
    <row r="406" spans="1:12" ht="15" hidden="1" customHeight="1" x14ac:dyDescent="0.25">
      <c r="A406" s="335"/>
      <c r="B406" s="262"/>
      <c r="C406" s="173"/>
      <c r="D406" s="175"/>
      <c r="E406" s="260"/>
      <c r="F406" s="261"/>
      <c r="G406" s="136">
        <f t="shared" si="22"/>
        <v>1052.4399999999762</v>
      </c>
      <c r="H406" s="130"/>
      <c r="I406" s="328">
        <f t="shared" si="23"/>
        <v>0</v>
      </c>
      <c r="J406" s="329"/>
      <c r="K406" s="329"/>
      <c r="L406" s="333"/>
    </row>
    <row r="407" spans="1:12" ht="15" hidden="1" customHeight="1" x14ac:dyDescent="0.25">
      <c r="A407" s="335"/>
      <c r="B407" s="262"/>
      <c r="C407" s="173"/>
      <c r="D407" s="175"/>
      <c r="E407" s="260"/>
      <c r="F407" s="261"/>
      <c r="G407" s="136">
        <f t="shared" si="22"/>
        <v>1052.4399999999762</v>
      </c>
      <c r="H407" s="130"/>
      <c r="I407" s="328">
        <f t="shared" si="23"/>
        <v>0</v>
      </c>
      <c r="J407" s="329"/>
      <c r="K407" s="329"/>
      <c r="L407" s="333"/>
    </row>
    <row r="408" spans="1:12" ht="15" hidden="1" customHeight="1" x14ac:dyDescent="0.25">
      <c r="A408" s="335"/>
      <c r="B408" s="262"/>
      <c r="C408" s="173"/>
      <c r="D408" s="175"/>
      <c r="E408" s="260"/>
      <c r="F408" s="261"/>
      <c r="G408" s="136">
        <f t="shared" si="22"/>
        <v>1052.4399999999762</v>
      </c>
      <c r="H408" s="130"/>
      <c r="I408" s="328">
        <f t="shared" si="23"/>
        <v>0</v>
      </c>
      <c r="J408" s="329"/>
      <c r="K408" s="329"/>
      <c r="L408" s="333"/>
    </row>
    <row r="409" spans="1:12" ht="15" hidden="1" customHeight="1" x14ac:dyDescent="0.25">
      <c r="A409" s="335"/>
      <c r="B409" s="262"/>
      <c r="C409" s="173"/>
      <c r="D409" s="175"/>
      <c r="E409" s="260"/>
      <c r="F409" s="261"/>
      <c r="G409" s="136">
        <f t="shared" si="22"/>
        <v>1052.4399999999762</v>
      </c>
      <c r="H409" s="130"/>
      <c r="I409" s="328">
        <f t="shared" si="23"/>
        <v>0</v>
      </c>
      <c r="J409" s="329"/>
      <c r="K409" s="329"/>
      <c r="L409" s="333"/>
    </row>
    <row r="410" spans="1:12" ht="15" hidden="1" customHeight="1" x14ac:dyDescent="0.25">
      <c r="A410" s="335"/>
      <c r="B410" s="262"/>
      <c r="C410" s="173"/>
      <c r="D410" s="175"/>
      <c r="E410" s="260"/>
      <c r="F410" s="261"/>
      <c r="G410" s="136">
        <f t="shared" si="22"/>
        <v>1052.4399999999762</v>
      </c>
      <c r="H410" s="130"/>
      <c r="I410" s="328">
        <f t="shared" si="23"/>
        <v>0</v>
      </c>
      <c r="J410" s="329"/>
      <c r="K410" s="329"/>
      <c r="L410" s="333"/>
    </row>
    <row r="411" spans="1:12" ht="15" hidden="1" customHeight="1" x14ac:dyDescent="0.25">
      <c r="A411" s="335"/>
      <c r="B411" s="262"/>
      <c r="C411" s="173"/>
      <c r="D411" s="175"/>
      <c r="E411" s="260"/>
      <c r="F411" s="261"/>
      <c r="G411" s="136">
        <f t="shared" si="22"/>
        <v>1052.4399999999762</v>
      </c>
      <c r="H411" s="130"/>
      <c r="I411" s="328">
        <f t="shared" si="23"/>
        <v>0</v>
      </c>
      <c r="J411" s="329"/>
      <c r="K411" s="329"/>
      <c r="L411" s="333"/>
    </row>
    <row r="412" spans="1:12" ht="15" hidden="1" customHeight="1" x14ac:dyDescent="0.25">
      <c r="A412" s="335"/>
      <c r="B412" s="262"/>
      <c r="C412" s="173"/>
      <c r="D412" s="175"/>
      <c r="E412" s="260"/>
      <c r="F412" s="261"/>
      <c r="G412" s="136">
        <f t="shared" si="22"/>
        <v>1052.4399999999762</v>
      </c>
      <c r="H412" s="130"/>
      <c r="I412" s="328">
        <f t="shared" si="23"/>
        <v>0</v>
      </c>
      <c r="J412" s="329"/>
      <c r="K412" s="329"/>
      <c r="L412" s="333"/>
    </row>
    <row r="413" spans="1:12" ht="15" hidden="1" customHeight="1" x14ac:dyDescent="0.25">
      <c r="A413" s="335"/>
      <c r="B413" s="262"/>
      <c r="C413" s="173"/>
      <c r="D413" s="175"/>
      <c r="E413" s="260"/>
      <c r="F413" s="261"/>
      <c r="G413" s="136">
        <f t="shared" si="22"/>
        <v>1052.4399999999762</v>
      </c>
      <c r="H413" s="130"/>
      <c r="I413" s="328">
        <f t="shared" si="23"/>
        <v>0</v>
      </c>
      <c r="J413" s="329"/>
      <c r="K413" s="329"/>
      <c r="L413" s="333"/>
    </row>
    <row r="414" spans="1:12" ht="15" hidden="1" customHeight="1" x14ac:dyDescent="0.25">
      <c r="A414" s="335"/>
      <c r="B414" s="262"/>
      <c r="C414" s="173"/>
      <c r="D414" s="175"/>
      <c r="E414" s="260"/>
      <c r="F414" s="261"/>
      <c r="G414" s="136">
        <f t="shared" si="22"/>
        <v>1052.4399999999762</v>
      </c>
      <c r="H414" s="130"/>
      <c r="I414" s="328">
        <f t="shared" si="23"/>
        <v>0</v>
      </c>
      <c r="J414" s="329"/>
      <c r="K414" s="329"/>
      <c r="L414" s="333"/>
    </row>
    <row r="415" spans="1:12" ht="15" hidden="1" customHeight="1" x14ac:dyDescent="0.25">
      <c r="A415" s="335"/>
      <c r="B415" s="262"/>
      <c r="C415" s="173"/>
      <c r="D415" s="175"/>
      <c r="E415" s="260"/>
      <c r="F415" s="261"/>
      <c r="G415" s="136">
        <f t="shared" si="22"/>
        <v>1052.4399999999762</v>
      </c>
      <c r="H415" s="130"/>
      <c r="I415" s="328">
        <f t="shared" si="23"/>
        <v>0</v>
      </c>
      <c r="J415" s="329"/>
      <c r="K415" s="329"/>
      <c r="L415" s="333"/>
    </row>
    <row r="416" spans="1:12" ht="15" hidden="1" customHeight="1" x14ac:dyDescent="0.25">
      <c r="A416" s="335"/>
      <c r="B416" s="262"/>
      <c r="C416" s="173"/>
      <c r="D416" s="175"/>
      <c r="E416" s="260"/>
      <c r="F416" s="261"/>
      <c r="G416" s="136">
        <f t="shared" si="22"/>
        <v>1052.4399999999762</v>
      </c>
      <c r="H416" s="130"/>
      <c r="I416" s="328">
        <f t="shared" si="23"/>
        <v>0</v>
      </c>
      <c r="J416" s="329"/>
      <c r="K416" s="329"/>
      <c r="L416" s="333"/>
    </row>
    <row r="417" spans="1:12" ht="15" hidden="1" customHeight="1" x14ac:dyDescent="0.25">
      <c r="A417" s="335"/>
      <c r="B417" s="262"/>
      <c r="C417" s="173"/>
      <c r="D417" s="175"/>
      <c r="E417" s="260"/>
      <c r="F417" s="261"/>
      <c r="G417" s="136">
        <f t="shared" si="22"/>
        <v>1052.4399999999762</v>
      </c>
      <c r="H417" s="130"/>
      <c r="I417" s="328">
        <f t="shared" si="23"/>
        <v>0</v>
      </c>
      <c r="J417" s="329"/>
      <c r="K417" s="329"/>
      <c r="L417" s="333"/>
    </row>
    <row r="418" spans="1:12" ht="15" hidden="1" customHeight="1" x14ac:dyDescent="0.25">
      <c r="A418" s="335"/>
      <c r="B418" s="262"/>
      <c r="C418" s="173"/>
      <c r="D418" s="175"/>
      <c r="E418" s="260"/>
      <c r="F418" s="261"/>
      <c r="G418" s="136">
        <f t="shared" si="22"/>
        <v>1052.4399999999762</v>
      </c>
      <c r="H418" s="130"/>
      <c r="I418" s="328">
        <f t="shared" si="23"/>
        <v>0</v>
      </c>
      <c r="J418" s="329"/>
      <c r="K418" s="329"/>
      <c r="L418" s="333"/>
    </row>
    <row r="419" spans="1:12" ht="15" hidden="1" customHeight="1" x14ac:dyDescent="0.25">
      <c r="A419" s="335"/>
      <c r="B419" s="262"/>
      <c r="C419" s="173"/>
      <c r="D419" s="175"/>
      <c r="E419" s="260"/>
      <c r="F419" s="261"/>
      <c r="G419" s="136">
        <f t="shared" si="22"/>
        <v>1052.4399999999762</v>
      </c>
      <c r="H419" s="130"/>
      <c r="I419" s="328">
        <f t="shared" si="23"/>
        <v>0</v>
      </c>
      <c r="J419" s="329"/>
      <c r="K419" s="329"/>
      <c r="L419" s="333"/>
    </row>
    <row r="420" spans="1:12" ht="15" hidden="1" customHeight="1" x14ac:dyDescent="0.25">
      <c r="A420" s="335"/>
      <c r="B420" s="262"/>
      <c r="C420" s="173"/>
      <c r="D420" s="175"/>
      <c r="E420" s="260"/>
      <c r="F420" s="261"/>
      <c r="G420" s="136">
        <f t="shared" si="22"/>
        <v>1052.4399999999762</v>
      </c>
      <c r="H420" s="130"/>
      <c r="I420" s="328">
        <f t="shared" si="23"/>
        <v>0</v>
      </c>
      <c r="J420" s="329"/>
      <c r="K420" s="329"/>
      <c r="L420" s="333"/>
    </row>
    <row r="421" spans="1:12" ht="15" hidden="1" customHeight="1" x14ac:dyDescent="0.25">
      <c r="A421" s="335"/>
      <c r="B421" s="262"/>
      <c r="C421" s="173"/>
      <c r="D421" s="175"/>
      <c r="E421" s="260"/>
      <c r="F421" s="261"/>
      <c r="G421" s="136">
        <f t="shared" si="22"/>
        <v>1052.4399999999762</v>
      </c>
      <c r="H421" s="130"/>
      <c r="I421" s="328">
        <f t="shared" si="23"/>
        <v>0</v>
      </c>
      <c r="J421" s="329"/>
      <c r="K421" s="329"/>
      <c r="L421" s="333"/>
    </row>
    <row r="422" spans="1:12" ht="15" hidden="1" customHeight="1" x14ac:dyDescent="0.25">
      <c r="A422" s="335"/>
      <c r="B422" s="262"/>
      <c r="C422" s="173"/>
      <c r="D422" s="175"/>
      <c r="E422" s="260"/>
      <c r="F422" s="261"/>
      <c r="G422" s="136">
        <f t="shared" si="22"/>
        <v>1052.4399999999762</v>
      </c>
      <c r="H422" s="130"/>
      <c r="I422" s="328">
        <f t="shared" si="23"/>
        <v>0</v>
      </c>
      <c r="J422" s="329"/>
      <c r="K422" s="329"/>
      <c r="L422" s="333"/>
    </row>
    <row r="423" spans="1:12" ht="15" hidden="1" customHeight="1" x14ac:dyDescent="0.25">
      <c r="A423" s="335"/>
      <c r="B423" s="262"/>
      <c r="C423" s="173"/>
      <c r="D423" s="175"/>
      <c r="E423" s="260"/>
      <c r="F423" s="261"/>
      <c r="G423" s="136">
        <f t="shared" si="22"/>
        <v>1052.4399999999762</v>
      </c>
      <c r="H423" s="130"/>
      <c r="I423" s="328">
        <f t="shared" si="23"/>
        <v>0</v>
      </c>
      <c r="J423" s="329"/>
      <c r="K423" s="329"/>
      <c r="L423" s="333"/>
    </row>
    <row r="424" spans="1:12" ht="15" hidden="1" customHeight="1" x14ac:dyDescent="0.25">
      <c r="A424" s="335"/>
      <c r="B424" s="262"/>
      <c r="C424" s="173"/>
      <c r="D424" s="175"/>
      <c r="E424" s="260"/>
      <c r="F424" s="261"/>
      <c r="G424" s="136">
        <f t="shared" si="22"/>
        <v>1052.4399999999762</v>
      </c>
      <c r="H424" s="130"/>
      <c r="I424" s="328">
        <f t="shared" si="23"/>
        <v>0</v>
      </c>
      <c r="J424" s="329"/>
      <c r="K424" s="329"/>
      <c r="L424" s="333"/>
    </row>
    <row r="425" spans="1:12" ht="15" hidden="1" customHeight="1" x14ac:dyDescent="0.25">
      <c r="A425" s="335"/>
      <c r="B425" s="262"/>
      <c r="C425" s="173"/>
      <c r="D425" s="175"/>
      <c r="E425" s="260"/>
      <c r="F425" s="261"/>
      <c r="G425" s="136">
        <f t="shared" si="22"/>
        <v>1052.4399999999762</v>
      </c>
      <c r="H425" s="130"/>
      <c r="I425" s="328">
        <f t="shared" si="23"/>
        <v>0</v>
      </c>
      <c r="J425" s="329"/>
      <c r="K425" s="329"/>
      <c r="L425" s="333"/>
    </row>
    <row r="426" spans="1:12" ht="15" hidden="1" customHeight="1" x14ac:dyDescent="0.25">
      <c r="A426" s="335"/>
      <c r="B426" s="262"/>
      <c r="C426" s="173"/>
      <c r="D426" s="175"/>
      <c r="E426" s="260"/>
      <c r="F426" s="261"/>
      <c r="G426" s="136">
        <f t="shared" si="22"/>
        <v>1052.4399999999762</v>
      </c>
      <c r="H426" s="130"/>
      <c r="I426" s="328">
        <f t="shared" si="23"/>
        <v>0</v>
      </c>
      <c r="J426" s="329"/>
      <c r="K426" s="329"/>
      <c r="L426" s="333"/>
    </row>
    <row r="427" spans="1:12" ht="15" hidden="1" customHeight="1" x14ac:dyDescent="0.25">
      <c r="A427" s="335"/>
      <c r="B427" s="262"/>
      <c r="C427" s="173"/>
      <c r="D427" s="175"/>
      <c r="E427" s="260"/>
      <c r="F427" s="261"/>
      <c r="G427" s="136">
        <f t="shared" si="22"/>
        <v>1052.4399999999762</v>
      </c>
      <c r="H427" s="130"/>
      <c r="I427" s="328">
        <f t="shared" si="23"/>
        <v>0</v>
      </c>
      <c r="J427" s="329"/>
      <c r="K427" s="329"/>
      <c r="L427" s="333"/>
    </row>
    <row r="428" spans="1:12" ht="15" hidden="1" customHeight="1" x14ac:dyDescent="0.25">
      <c r="A428" s="335"/>
      <c r="B428" s="262"/>
      <c r="C428" s="173"/>
      <c r="D428" s="175"/>
      <c r="E428" s="260"/>
      <c r="F428" s="261"/>
      <c r="G428" s="136">
        <f t="shared" si="22"/>
        <v>1052.4399999999762</v>
      </c>
      <c r="H428" s="130"/>
      <c r="I428" s="328">
        <f t="shared" si="23"/>
        <v>0</v>
      </c>
      <c r="J428" s="329"/>
      <c r="K428" s="329"/>
      <c r="L428" s="333"/>
    </row>
    <row r="429" spans="1:12" ht="15" hidden="1" customHeight="1" x14ac:dyDescent="0.25">
      <c r="A429" s="335"/>
      <c r="B429" s="262"/>
      <c r="C429" s="173"/>
      <c r="D429" s="44"/>
      <c r="E429" s="260"/>
      <c r="F429" s="261"/>
      <c r="G429" s="136">
        <f t="shared" si="22"/>
        <v>1052.4399999999762</v>
      </c>
      <c r="H429" s="130"/>
      <c r="I429" s="328">
        <f t="shared" si="23"/>
        <v>0</v>
      </c>
      <c r="J429" s="329"/>
      <c r="K429" s="329"/>
      <c r="L429" s="333"/>
    </row>
    <row r="430" spans="1:12" ht="15" hidden="1" customHeight="1" x14ac:dyDescent="0.25">
      <c r="A430" s="335"/>
      <c r="B430" s="262"/>
      <c r="C430" s="173"/>
      <c r="D430" s="175"/>
      <c r="E430" s="260"/>
      <c r="F430" s="261"/>
      <c r="G430" s="136">
        <f t="shared" si="22"/>
        <v>1052.4399999999762</v>
      </c>
      <c r="H430" s="130"/>
      <c r="I430" s="328">
        <f t="shared" si="23"/>
        <v>0</v>
      </c>
      <c r="J430" s="329"/>
      <c r="K430" s="329"/>
      <c r="L430" s="333"/>
    </row>
    <row r="431" spans="1:12" ht="15" hidden="1" customHeight="1" x14ac:dyDescent="0.25">
      <c r="A431" s="335"/>
      <c r="B431" s="262"/>
      <c r="C431" s="173"/>
      <c r="D431" s="44"/>
      <c r="E431" s="260"/>
      <c r="F431" s="261"/>
      <c r="G431" s="136">
        <f t="shared" si="22"/>
        <v>1052.4399999999762</v>
      </c>
      <c r="H431" s="130"/>
      <c r="I431" s="328">
        <f t="shared" si="23"/>
        <v>0</v>
      </c>
      <c r="J431" s="329"/>
      <c r="K431" s="329"/>
      <c r="L431" s="333"/>
    </row>
    <row r="432" spans="1:12" ht="15" hidden="1" customHeight="1" x14ac:dyDescent="0.25">
      <c r="A432" s="335"/>
      <c r="B432" s="262"/>
      <c r="C432" s="173"/>
      <c r="D432" s="44"/>
      <c r="E432" s="260"/>
      <c r="F432" s="261"/>
      <c r="G432" s="136">
        <f t="shared" ref="G432:G543" si="24">+G431+E432-F432</f>
        <v>1052.4399999999762</v>
      </c>
      <c r="H432" s="130"/>
      <c r="I432" s="328">
        <f t="shared" si="23"/>
        <v>0</v>
      </c>
      <c r="J432" s="329"/>
      <c r="K432" s="329"/>
      <c r="L432" s="333"/>
    </row>
    <row r="433" spans="1:12" ht="15" hidden="1" customHeight="1" x14ac:dyDescent="0.25">
      <c r="A433" s="335"/>
      <c r="B433" s="262"/>
      <c r="C433" s="173"/>
      <c r="D433" s="44"/>
      <c r="E433" s="260"/>
      <c r="F433" s="261"/>
      <c r="G433" s="136">
        <f t="shared" si="24"/>
        <v>1052.4399999999762</v>
      </c>
      <c r="H433" s="130"/>
      <c r="I433" s="328">
        <f t="shared" si="23"/>
        <v>0</v>
      </c>
      <c r="J433" s="329"/>
      <c r="K433" s="329"/>
      <c r="L433" s="333"/>
    </row>
    <row r="434" spans="1:12" ht="15" hidden="1" customHeight="1" x14ac:dyDescent="0.25">
      <c r="A434" s="335"/>
      <c r="B434" s="262"/>
      <c r="C434" s="173"/>
      <c r="D434" s="44"/>
      <c r="E434" s="260"/>
      <c r="F434" s="261"/>
      <c r="G434" s="136">
        <f t="shared" si="24"/>
        <v>1052.4399999999762</v>
      </c>
      <c r="H434" s="130"/>
      <c r="I434" s="328">
        <f t="shared" si="23"/>
        <v>0</v>
      </c>
      <c r="J434" s="329"/>
      <c r="K434" s="329"/>
      <c r="L434" s="333"/>
    </row>
    <row r="435" spans="1:12" ht="15" hidden="1" customHeight="1" x14ac:dyDescent="0.25">
      <c r="A435" s="335"/>
      <c r="B435" s="262"/>
      <c r="C435" s="258"/>
      <c r="D435" s="259"/>
      <c r="E435" s="260"/>
      <c r="F435" s="261"/>
      <c r="G435" s="136">
        <f t="shared" si="24"/>
        <v>1052.4399999999762</v>
      </c>
      <c r="H435" s="130"/>
      <c r="I435" s="328">
        <f t="shared" si="23"/>
        <v>0</v>
      </c>
      <c r="J435" s="329"/>
      <c r="K435" s="329"/>
      <c r="L435" s="333"/>
    </row>
    <row r="436" spans="1:12" ht="15" hidden="1" customHeight="1" x14ac:dyDescent="0.25">
      <c r="A436" s="335"/>
      <c r="B436" s="262"/>
      <c r="C436" s="258"/>
      <c r="D436" s="259"/>
      <c r="E436" s="260"/>
      <c r="F436" s="261"/>
      <c r="G436" s="136">
        <f t="shared" si="24"/>
        <v>1052.4399999999762</v>
      </c>
      <c r="H436" s="130"/>
      <c r="I436" s="328">
        <f t="shared" si="23"/>
        <v>0</v>
      </c>
      <c r="J436" s="329"/>
      <c r="K436" s="329"/>
      <c r="L436" s="333"/>
    </row>
    <row r="437" spans="1:12" ht="15" hidden="1" customHeight="1" x14ac:dyDescent="0.25">
      <c r="A437" s="335"/>
      <c r="B437" s="262"/>
      <c r="C437" s="258"/>
      <c r="D437" s="259"/>
      <c r="E437" s="260"/>
      <c r="F437" s="261"/>
      <c r="G437" s="136">
        <f t="shared" si="24"/>
        <v>1052.4399999999762</v>
      </c>
      <c r="H437" s="130"/>
      <c r="I437" s="328">
        <f t="shared" si="23"/>
        <v>0</v>
      </c>
      <c r="J437" s="329"/>
      <c r="K437" s="329"/>
      <c r="L437" s="333"/>
    </row>
    <row r="438" spans="1:12" ht="15" hidden="1" customHeight="1" x14ac:dyDescent="0.25">
      <c r="A438" s="335"/>
      <c r="B438" s="262"/>
      <c r="C438" s="258"/>
      <c r="D438" s="259"/>
      <c r="E438" s="260"/>
      <c r="F438" s="261"/>
      <c r="G438" s="136">
        <f t="shared" si="24"/>
        <v>1052.4399999999762</v>
      </c>
      <c r="H438" s="130"/>
      <c r="I438" s="328">
        <f t="shared" si="23"/>
        <v>0</v>
      </c>
      <c r="J438" s="329"/>
      <c r="K438" s="329"/>
      <c r="L438" s="333"/>
    </row>
    <row r="439" spans="1:12" ht="15" hidden="1" customHeight="1" x14ac:dyDescent="0.25">
      <c r="A439" s="335"/>
      <c r="B439" s="262"/>
      <c r="C439" s="173"/>
      <c r="D439" s="175"/>
      <c r="E439" s="260"/>
      <c r="F439" s="261"/>
      <c r="G439" s="136">
        <f t="shared" si="24"/>
        <v>1052.4399999999762</v>
      </c>
      <c r="H439" s="130"/>
      <c r="I439" s="328">
        <f t="shared" si="23"/>
        <v>0</v>
      </c>
      <c r="J439" s="329"/>
      <c r="K439" s="329"/>
      <c r="L439" s="333"/>
    </row>
    <row r="440" spans="1:12" ht="15" hidden="1" customHeight="1" x14ac:dyDescent="0.25">
      <c r="A440" s="335"/>
      <c r="B440" s="262"/>
      <c r="C440" s="173"/>
      <c r="D440" s="175"/>
      <c r="E440" s="260"/>
      <c r="F440" s="261"/>
      <c r="G440" s="136">
        <f t="shared" si="24"/>
        <v>1052.4399999999762</v>
      </c>
      <c r="H440" s="130"/>
      <c r="I440" s="328">
        <f t="shared" si="23"/>
        <v>0</v>
      </c>
      <c r="J440" s="329"/>
      <c r="K440" s="329"/>
      <c r="L440" s="333"/>
    </row>
    <row r="441" spans="1:12" ht="15" hidden="1" customHeight="1" x14ac:dyDescent="0.25">
      <c r="A441" s="335"/>
      <c r="B441" s="262"/>
      <c r="C441" s="173"/>
      <c r="D441" s="44"/>
      <c r="E441" s="260"/>
      <c r="F441" s="261"/>
      <c r="G441" s="136">
        <f t="shared" si="24"/>
        <v>1052.4399999999762</v>
      </c>
      <c r="H441" s="130"/>
      <c r="I441" s="328">
        <f t="shared" si="23"/>
        <v>0</v>
      </c>
      <c r="J441" s="329"/>
      <c r="K441" s="329"/>
      <c r="L441" s="333"/>
    </row>
    <row r="442" spans="1:12" ht="15" hidden="1" customHeight="1" x14ac:dyDescent="0.25">
      <c r="A442" s="335"/>
      <c r="B442" s="262"/>
      <c r="C442" s="173"/>
      <c r="D442" s="175"/>
      <c r="E442" s="260"/>
      <c r="F442" s="261"/>
      <c r="G442" s="136">
        <f t="shared" si="24"/>
        <v>1052.4399999999762</v>
      </c>
      <c r="H442" s="130"/>
      <c r="I442" s="328">
        <f t="shared" si="23"/>
        <v>0</v>
      </c>
      <c r="J442" s="329"/>
      <c r="K442" s="329"/>
      <c r="L442" s="333"/>
    </row>
    <row r="443" spans="1:12" ht="15" hidden="1" customHeight="1" x14ac:dyDescent="0.25">
      <c r="A443" s="335"/>
      <c r="B443" s="262"/>
      <c r="C443" s="173"/>
      <c r="D443" s="175"/>
      <c r="E443" s="260"/>
      <c r="F443" s="261"/>
      <c r="G443" s="136">
        <f t="shared" si="24"/>
        <v>1052.4399999999762</v>
      </c>
      <c r="H443" s="130"/>
      <c r="I443" s="328">
        <f t="shared" si="23"/>
        <v>0</v>
      </c>
      <c r="J443" s="329"/>
      <c r="K443" s="329"/>
      <c r="L443" s="333"/>
    </row>
    <row r="444" spans="1:12" ht="15" hidden="1" customHeight="1" x14ac:dyDescent="0.25">
      <c r="A444" s="335"/>
      <c r="B444" s="262"/>
      <c r="C444" s="173"/>
      <c r="D444" s="44"/>
      <c r="E444" s="260"/>
      <c r="F444" s="261"/>
      <c r="G444" s="136">
        <f t="shared" si="24"/>
        <v>1052.4399999999762</v>
      </c>
      <c r="H444" s="130"/>
      <c r="I444" s="328">
        <f t="shared" si="23"/>
        <v>0</v>
      </c>
      <c r="J444" s="329"/>
      <c r="K444" s="329"/>
      <c r="L444" s="333"/>
    </row>
    <row r="445" spans="1:12" ht="15" hidden="1" customHeight="1" x14ac:dyDescent="0.25">
      <c r="A445" s="335"/>
      <c r="B445" s="262"/>
      <c r="C445" s="173"/>
      <c r="D445" s="175"/>
      <c r="E445" s="261"/>
      <c r="F445" s="261"/>
      <c r="G445" s="136">
        <f t="shared" si="24"/>
        <v>1052.4399999999762</v>
      </c>
      <c r="H445" s="130"/>
      <c r="I445" s="328">
        <f t="shared" si="23"/>
        <v>0</v>
      </c>
      <c r="J445" s="329"/>
      <c r="K445" s="329"/>
      <c r="L445" s="333"/>
    </row>
    <row r="446" spans="1:12" ht="15" hidden="1" customHeight="1" x14ac:dyDescent="0.25">
      <c r="A446" s="335"/>
      <c r="B446" s="262"/>
      <c r="C446" s="173"/>
      <c r="D446" s="175"/>
      <c r="E446" s="261"/>
      <c r="F446" s="261"/>
      <c r="G446" s="136">
        <f t="shared" si="24"/>
        <v>1052.4399999999762</v>
      </c>
      <c r="H446" s="130"/>
      <c r="I446" s="328">
        <f t="shared" si="23"/>
        <v>0</v>
      </c>
      <c r="J446" s="329"/>
      <c r="K446" s="329"/>
      <c r="L446" s="333"/>
    </row>
    <row r="447" spans="1:12" ht="15" hidden="1" customHeight="1" x14ac:dyDescent="0.25">
      <c r="A447" s="335"/>
      <c r="B447" s="262"/>
      <c r="C447" s="173"/>
      <c r="D447" s="175"/>
      <c r="E447" s="261"/>
      <c r="F447" s="261"/>
      <c r="G447" s="136">
        <f t="shared" si="24"/>
        <v>1052.4399999999762</v>
      </c>
      <c r="H447" s="130"/>
      <c r="I447" s="328">
        <f t="shared" si="23"/>
        <v>0</v>
      </c>
      <c r="J447" s="329"/>
      <c r="K447" s="329"/>
      <c r="L447" s="333"/>
    </row>
    <row r="448" spans="1:12" ht="15" hidden="1" customHeight="1" x14ac:dyDescent="0.25">
      <c r="A448" s="335"/>
      <c r="B448" s="262"/>
      <c r="C448" s="173"/>
      <c r="D448" s="175"/>
      <c r="E448" s="261"/>
      <c r="F448" s="261"/>
      <c r="G448" s="136">
        <f t="shared" si="24"/>
        <v>1052.4399999999762</v>
      </c>
      <c r="H448" s="130"/>
      <c r="I448" s="328">
        <f t="shared" si="23"/>
        <v>0</v>
      </c>
      <c r="J448" s="329"/>
      <c r="K448" s="329"/>
      <c r="L448" s="333"/>
    </row>
    <row r="449" spans="1:12" ht="15" hidden="1" customHeight="1" x14ac:dyDescent="0.25">
      <c r="A449" s="335"/>
      <c r="B449" s="262"/>
      <c r="C449" s="173"/>
      <c r="D449" s="175"/>
      <c r="E449" s="261"/>
      <c r="F449" s="261"/>
      <c r="G449" s="136">
        <f t="shared" si="24"/>
        <v>1052.4399999999762</v>
      </c>
      <c r="H449" s="130"/>
      <c r="I449" s="328">
        <f t="shared" si="23"/>
        <v>0</v>
      </c>
      <c r="J449" s="329"/>
      <c r="K449" s="329"/>
      <c r="L449" s="333"/>
    </row>
    <row r="450" spans="1:12" ht="15" hidden="1" customHeight="1" x14ac:dyDescent="0.25">
      <c r="A450" s="335"/>
      <c r="B450" s="262"/>
      <c r="C450" s="173"/>
      <c r="D450" s="175"/>
      <c r="E450" s="261"/>
      <c r="F450" s="261"/>
      <c r="G450" s="136">
        <f t="shared" si="24"/>
        <v>1052.4399999999762</v>
      </c>
      <c r="H450" s="130"/>
      <c r="I450" s="328">
        <f t="shared" si="23"/>
        <v>0</v>
      </c>
      <c r="J450" s="329"/>
      <c r="K450" s="329"/>
      <c r="L450" s="333"/>
    </row>
    <row r="451" spans="1:12" ht="15" hidden="1" customHeight="1" x14ac:dyDescent="0.25">
      <c r="A451" s="335"/>
      <c r="B451" s="262"/>
      <c r="C451" s="173"/>
      <c r="D451" s="175"/>
      <c r="E451" s="261"/>
      <c r="F451" s="261"/>
      <c r="G451" s="136">
        <f t="shared" si="24"/>
        <v>1052.4399999999762</v>
      </c>
      <c r="H451" s="130"/>
      <c r="I451" s="328">
        <f t="shared" si="23"/>
        <v>0</v>
      </c>
      <c r="J451" s="329"/>
      <c r="K451" s="329"/>
      <c r="L451" s="333"/>
    </row>
    <row r="452" spans="1:12" ht="15" hidden="1" customHeight="1" x14ac:dyDescent="0.25">
      <c r="A452" s="335"/>
      <c r="B452" s="262"/>
      <c r="C452" s="173"/>
      <c r="D452" s="175"/>
      <c r="E452" s="261"/>
      <c r="F452" s="261"/>
      <c r="G452" s="136">
        <f t="shared" si="24"/>
        <v>1052.4399999999762</v>
      </c>
      <c r="H452" s="130"/>
      <c r="I452" s="328">
        <f t="shared" si="23"/>
        <v>0</v>
      </c>
      <c r="J452" s="329"/>
      <c r="K452" s="329"/>
      <c r="L452" s="333"/>
    </row>
    <row r="453" spans="1:12" ht="15" hidden="1" customHeight="1" x14ac:dyDescent="0.25">
      <c r="A453" s="335"/>
      <c r="B453" s="262"/>
      <c r="C453" s="173"/>
      <c r="D453" s="175"/>
      <c r="E453" s="261"/>
      <c r="F453" s="261"/>
      <c r="G453" s="136">
        <f t="shared" si="24"/>
        <v>1052.4399999999762</v>
      </c>
      <c r="H453" s="130"/>
      <c r="I453" s="328">
        <f t="shared" si="23"/>
        <v>0</v>
      </c>
      <c r="J453" s="329"/>
      <c r="K453" s="329"/>
      <c r="L453" s="333"/>
    </row>
    <row r="454" spans="1:12" ht="15" hidden="1" customHeight="1" x14ac:dyDescent="0.25">
      <c r="A454" s="335"/>
      <c r="B454" s="262"/>
      <c r="C454" s="173"/>
      <c r="D454" s="175"/>
      <c r="E454" s="261"/>
      <c r="F454" s="261"/>
      <c r="G454" s="136">
        <f t="shared" si="24"/>
        <v>1052.4399999999762</v>
      </c>
      <c r="H454" s="130"/>
      <c r="I454" s="328">
        <f t="shared" si="23"/>
        <v>0</v>
      </c>
      <c r="J454" s="329"/>
      <c r="K454" s="329"/>
      <c r="L454" s="333"/>
    </row>
    <row r="455" spans="1:12" ht="15" hidden="1" customHeight="1" x14ac:dyDescent="0.25">
      <c r="A455" s="335"/>
      <c r="B455" s="262"/>
      <c r="C455" s="173"/>
      <c r="D455" s="175"/>
      <c r="E455" s="261"/>
      <c r="F455" s="261"/>
      <c r="G455" s="136">
        <f t="shared" si="24"/>
        <v>1052.4399999999762</v>
      </c>
      <c r="H455" s="130"/>
      <c r="I455" s="328">
        <f t="shared" si="23"/>
        <v>0</v>
      </c>
      <c r="J455" s="329"/>
      <c r="K455" s="329"/>
      <c r="L455" s="333"/>
    </row>
    <row r="456" spans="1:12" ht="15" hidden="1" customHeight="1" x14ac:dyDescent="0.25">
      <c r="A456" s="335"/>
      <c r="B456" s="262"/>
      <c r="C456" s="173"/>
      <c r="D456" s="175"/>
      <c r="E456" s="261"/>
      <c r="F456" s="261"/>
      <c r="G456" s="136">
        <f t="shared" si="24"/>
        <v>1052.4399999999762</v>
      </c>
      <c r="H456" s="130"/>
      <c r="I456" s="328">
        <f t="shared" si="23"/>
        <v>0</v>
      </c>
      <c r="J456" s="329"/>
      <c r="K456" s="329"/>
      <c r="L456" s="333"/>
    </row>
    <row r="457" spans="1:12" ht="15" hidden="1" customHeight="1" x14ac:dyDescent="0.25">
      <c r="A457" s="335"/>
      <c r="B457" s="262"/>
      <c r="C457" s="173"/>
      <c r="D457" s="175"/>
      <c r="E457" s="261"/>
      <c r="F457" s="261"/>
      <c r="G457" s="136">
        <f t="shared" si="24"/>
        <v>1052.4399999999762</v>
      </c>
      <c r="H457" s="130"/>
      <c r="I457" s="328">
        <f t="shared" si="23"/>
        <v>0</v>
      </c>
      <c r="J457" s="329"/>
      <c r="K457" s="329"/>
      <c r="L457" s="333"/>
    </row>
    <row r="458" spans="1:12" ht="15" hidden="1" customHeight="1" x14ac:dyDescent="0.25">
      <c r="A458" s="335"/>
      <c r="B458" s="262"/>
      <c r="C458" s="173"/>
      <c r="D458" s="175"/>
      <c r="E458" s="261"/>
      <c r="F458" s="261"/>
      <c r="G458" s="136">
        <f t="shared" si="24"/>
        <v>1052.4399999999762</v>
      </c>
      <c r="H458" s="130"/>
      <c r="I458" s="328">
        <f t="shared" ref="I458:I521" si="25">E458-F458</f>
        <v>0</v>
      </c>
      <c r="J458" s="329"/>
      <c r="K458" s="329"/>
      <c r="L458" s="333"/>
    </row>
    <row r="459" spans="1:12" ht="15" hidden="1" customHeight="1" x14ac:dyDescent="0.25">
      <c r="A459" s="335"/>
      <c r="B459" s="262"/>
      <c r="C459" s="173"/>
      <c r="D459" s="175"/>
      <c r="E459" s="261"/>
      <c r="F459" s="261"/>
      <c r="G459" s="136">
        <f t="shared" si="24"/>
        <v>1052.4399999999762</v>
      </c>
      <c r="H459" s="130"/>
      <c r="I459" s="328">
        <f t="shared" si="25"/>
        <v>0</v>
      </c>
      <c r="J459" s="329"/>
      <c r="K459" s="329"/>
      <c r="L459" s="333"/>
    </row>
    <row r="460" spans="1:12" ht="15" hidden="1" customHeight="1" x14ac:dyDescent="0.25">
      <c r="A460" s="335"/>
      <c r="B460" s="262"/>
      <c r="C460" s="173"/>
      <c r="D460" s="175"/>
      <c r="E460" s="261"/>
      <c r="F460" s="261"/>
      <c r="G460" s="136">
        <f t="shared" si="24"/>
        <v>1052.4399999999762</v>
      </c>
      <c r="H460" s="130"/>
      <c r="I460" s="328">
        <f t="shared" si="25"/>
        <v>0</v>
      </c>
      <c r="J460" s="329"/>
      <c r="K460" s="329"/>
      <c r="L460" s="333"/>
    </row>
    <row r="461" spans="1:12" ht="15" hidden="1" customHeight="1" x14ac:dyDescent="0.25">
      <c r="A461" s="335"/>
      <c r="B461" s="262"/>
      <c r="C461" s="173"/>
      <c r="D461" s="175"/>
      <c r="E461" s="261"/>
      <c r="F461" s="261"/>
      <c r="G461" s="136">
        <f t="shared" si="24"/>
        <v>1052.4399999999762</v>
      </c>
      <c r="H461" s="130"/>
      <c r="I461" s="328">
        <f t="shared" si="25"/>
        <v>0</v>
      </c>
      <c r="J461" s="329"/>
      <c r="K461" s="329"/>
      <c r="L461" s="333"/>
    </row>
    <row r="462" spans="1:12" ht="15" hidden="1" customHeight="1" x14ac:dyDescent="0.25">
      <c r="A462" s="335"/>
      <c r="B462" s="262"/>
      <c r="C462" s="173"/>
      <c r="D462" s="175"/>
      <c r="E462" s="261"/>
      <c r="F462" s="261"/>
      <c r="G462" s="136">
        <f t="shared" si="24"/>
        <v>1052.4399999999762</v>
      </c>
      <c r="H462" s="130"/>
      <c r="I462" s="328">
        <f t="shared" si="25"/>
        <v>0</v>
      </c>
      <c r="J462" s="329"/>
      <c r="K462" s="329"/>
      <c r="L462" s="333"/>
    </row>
    <row r="463" spans="1:12" ht="15" hidden="1" customHeight="1" x14ac:dyDescent="0.25">
      <c r="A463" s="335"/>
      <c r="B463" s="262"/>
      <c r="C463" s="173"/>
      <c r="D463" s="175"/>
      <c r="E463" s="261"/>
      <c r="F463" s="261"/>
      <c r="G463" s="136">
        <f t="shared" si="24"/>
        <v>1052.4399999999762</v>
      </c>
      <c r="H463" s="130"/>
      <c r="I463" s="328">
        <f t="shared" si="25"/>
        <v>0</v>
      </c>
      <c r="J463" s="329"/>
      <c r="K463" s="329"/>
      <c r="L463" s="333"/>
    </row>
    <row r="464" spans="1:12" ht="15" hidden="1" customHeight="1" x14ac:dyDescent="0.25">
      <c r="A464" s="335"/>
      <c r="B464" s="262"/>
      <c r="C464" s="173"/>
      <c r="D464" s="175"/>
      <c r="E464" s="261"/>
      <c r="F464" s="261"/>
      <c r="G464" s="136">
        <f t="shared" si="24"/>
        <v>1052.4399999999762</v>
      </c>
      <c r="H464" s="130"/>
      <c r="I464" s="328">
        <f t="shared" si="25"/>
        <v>0</v>
      </c>
      <c r="J464" s="329"/>
      <c r="K464" s="329"/>
      <c r="L464" s="333"/>
    </row>
    <row r="465" spans="1:12" ht="15" hidden="1" customHeight="1" x14ac:dyDescent="0.25">
      <c r="A465" s="335"/>
      <c r="B465" s="262"/>
      <c r="C465" s="173"/>
      <c r="D465" s="175"/>
      <c r="E465" s="261"/>
      <c r="F465" s="261"/>
      <c r="G465" s="136">
        <f t="shared" si="24"/>
        <v>1052.4399999999762</v>
      </c>
      <c r="H465" s="130"/>
      <c r="I465" s="328">
        <f t="shared" si="25"/>
        <v>0</v>
      </c>
      <c r="J465" s="329"/>
      <c r="K465" s="329"/>
      <c r="L465" s="333"/>
    </row>
    <row r="466" spans="1:12" ht="15" hidden="1" customHeight="1" x14ac:dyDescent="0.25">
      <c r="A466" s="335"/>
      <c r="B466" s="262"/>
      <c r="C466" s="173"/>
      <c r="D466" s="175"/>
      <c r="E466" s="261"/>
      <c r="F466" s="261"/>
      <c r="G466" s="136">
        <f t="shared" si="24"/>
        <v>1052.4399999999762</v>
      </c>
      <c r="H466" s="130"/>
      <c r="I466" s="328">
        <f t="shared" si="25"/>
        <v>0</v>
      </c>
      <c r="J466" s="329"/>
      <c r="K466" s="329"/>
      <c r="L466" s="333"/>
    </row>
    <row r="467" spans="1:12" ht="15" hidden="1" customHeight="1" x14ac:dyDescent="0.25">
      <c r="A467" s="335"/>
      <c r="B467" s="262"/>
      <c r="C467" s="173"/>
      <c r="D467" s="175"/>
      <c r="E467" s="261"/>
      <c r="F467" s="261"/>
      <c r="G467" s="136">
        <f t="shared" si="24"/>
        <v>1052.4399999999762</v>
      </c>
      <c r="H467" s="130"/>
      <c r="I467" s="328">
        <f t="shared" si="25"/>
        <v>0</v>
      </c>
      <c r="J467" s="329"/>
      <c r="K467" s="329"/>
      <c r="L467" s="333"/>
    </row>
    <row r="468" spans="1:12" ht="15" hidden="1" customHeight="1" x14ac:dyDescent="0.25">
      <c r="A468" s="335"/>
      <c r="B468" s="262"/>
      <c r="C468" s="173"/>
      <c r="D468" s="175"/>
      <c r="E468" s="261"/>
      <c r="F468" s="261"/>
      <c r="G468" s="136">
        <f t="shared" si="24"/>
        <v>1052.4399999999762</v>
      </c>
      <c r="H468" s="130"/>
      <c r="I468" s="328">
        <f t="shared" si="25"/>
        <v>0</v>
      </c>
      <c r="J468" s="329"/>
      <c r="K468" s="329"/>
      <c r="L468" s="333"/>
    </row>
    <row r="469" spans="1:12" ht="15" hidden="1" customHeight="1" x14ac:dyDescent="0.25">
      <c r="A469" s="335"/>
      <c r="B469" s="262"/>
      <c r="C469" s="173"/>
      <c r="D469" s="175"/>
      <c r="E469" s="261"/>
      <c r="F469" s="261"/>
      <c r="G469" s="136">
        <f t="shared" si="24"/>
        <v>1052.4399999999762</v>
      </c>
      <c r="H469" s="130"/>
      <c r="I469" s="328">
        <f t="shared" si="25"/>
        <v>0</v>
      </c>
      <c r="J469" s="329"/>
      <c r="K469" s="329"/>
      <c r="L469" s="333"/>
    </row>
    <row r="470" spans="1:12" ht="15" hidden="1" customHeight="1" x14ac:dyDescent="0.25">
      <c r="A470" s="335"/>
      <c r="B470" s="262"/>
      <c r="C470" s="173"/>
      <c r="D470" s="44"/>
      <c r="E470" s="261"/>
      <c r="F470" s="261"/>
      <c r="G470" s="136">
        <f t="shared" si="24"/>
        <v>1052.4399999999762</v>
      </c>
      <c r="H470" s="130"/>
      <c r="I470" s="328">
        <f t="shared" si="25"/>
        <v>0</v>
      </c>
      <c r="J470" s="329"/>
      <c r="K470" s="329"/>
      <c r="L470" s="333"/>
    </row>
    <row r="471" spans="1:12" ht="15" hidden="1" customHeight="1" x14ac:dyDescent="0.25">
      <c r="A471" s="335"/>
      <c r="B471" s="262"/>
      <c r="C471" s="173"/>
      <c r="D471" s="175"/>
      <c r="E471" s="260"/>
      <c r="F471" s="261"/>
      <c r="G471" s="136">
        <f t="shared" si="24"/>
        <v>1052.4399999999762</v>
      </c>
      <c r="H471" s="130"/>
      <c r="I471" s="328">
        <f t="shared" si="25"/>
        <v>0</v>
      </c>
      <c r="J471" s="329"/>
      <c r="K471" s="329"/>
      <c r="L471" s="333"/>
    </row>
    <row r="472" spans="1:12" ht="15" hidden="1" customHeight="1" x14ac:dyDescent="0.25">
      <c r="A472" s="335"/>
      <c r="B472" s="262"/>
      <c r="C472" s="173"/>
      <c r="D472" s="44"/>
      <c r="E472" s="260"/>
      <c r="F472" s="261"/>
      <c r="G472" s="136">
        <f t="shared" si="24"/>
        <v>1052.4399999999762</v>
      </c>
      <c r="H472" s="130"/>
      <c r="I472" s="328">
        <f t="shared" si="25"/>
        <v>0</v>
      </c>
      <c r="J472" s="329"/>
      <c r="K472" s="329"/>
      <c r="L472" s="333"/>
    </row>
    <row r="473" spans="1:12" ht="15" hidden="1" customHeight="1" x14ac:dyDescent="0.25">
      <c r="A473" s="335"/>
      <c r="B473" s="262"/>
      <c r="C473" s="173"/>
      <c r="D473" s="175"/>
      <c r="E473" s="260"/>
      <c r="F473" s="261"/>
      <c r="G473" s="136">
        <f t="shared" si="24"/>
        <v>1052.4399999999762</v>
      </c>
      <c r="H473" s="130"/>
      <c r="I473" s="328">
        <f t="shared" si="25"/>
        <v>0</v>
      </c>
      <c r="J473" s="329"/>
      <c r="K473" s="329"/>
      <c r="L473" s="333"/>
    </row>
    <row r="474" spans="1:12" ht="15" hidden="1" customHeight="1" x14ac:dyDescent="0.25">
      <c r="A474" s="335"/>
      <c r="B474" s="262"/>
      <c r="C474" s="173"/>
      <c r="D474" s="44"/>
      <c r="E474" s="260"/>
      <c r="F474" s="261"/>
      <c r="G474" s="136">
        <f t="shared" si="24"/>
        <v>1052.4399999999762</v>
      </c>
      <c r="H474" s="130"/>
      <c r="I474" s="328">
        <f t="shared" si="25"/>
        <v>0</v>
      </c>
      <c r="J474" s="329"/>
      <c r="K474" s="329"/>
      <c r="L474" s="333"/>
    </row>
    <row r="475" spans="1:12" ht="15" hidden="1" customHeight="1" x14ac:dyDescent="0.25">
      <c r="A475" s="335"/>
      <c r="B475" s="262"/>
      <c r="C475" s="173"/>
      <c r="D475" s="44"/>
      <c r="E475" s="260"/>
      <c r="F475" s="261"/>
      <c r="G475" s="136">
        <f t="shared" si="24"/>
        <v>1052.4399999999762</v>
      </c>
      <c r="H475" s="130"/>
      <c r="I475" s="328">
        <f t="shared" si="25"/>
        <v>0</v>
      </c>
      <c r="J475" s="329"/>
      <c r="K475" s="329"/>
      <c r="L475" s="333"/>
    </row>
    <row r="476" spans="1:12" ht="15" hidden="1" customHeight="1" x14ac:dyDescent="0.25">
      <c r="A476" s="335"/>
      <c r="B476" s="262"/>
      <c r="C476" s="173"/>
      <c r="D476" s="44"/>
      <c r="E476" s="260"/>
      <c r="F476" s="261"/>
      <c r="G476" s="136">
        <f t="shared" si="24"/>
        <v>1052.4399999999762</v>
      </c>
      <c r="H476" s="130"/>
      <c r="I476" s="328">
        <f t="shared" si="25"/>
        <v>0</v>
      </c>
      <c r="J476" s="329"/>
      <c r="K476" s="329"/>
      <c r="L476" s="333"/>
    </row>
    <row r="477" spans="1:12" ht="15" hidden="1" customHeight="1" x14ac:dyDescent="0.25">
      <c r="A477" s="335"/>
      <c r="B477" s="262"/>
      <c r="C477" s="173"/>
      <c r="D477" s="44"/>
      <c r="E477" s="260"/>
      <c r="F477" s="261"/>
      <c r="G477" s="136">
        <f t="shared" si="24"/>
        <v>1052.4399999999762</v>
      </c>
      <c r="H477" s="130"/>
      <c r="I477" s="328">
        <f t="shared" si="25"/>
        <v>0</v>
      </c>
      <c r="J477" s="329"/>
      <c r="K477" s="329"/>
      <c r="L477" s="333"/>
    </row>
    <row r="478" spans="1:12" ht="15" hidden="1" customHeight="1" x14ac:dyDescent="0.25">
      <c r="A478" s="335"/>
      <c r="B478" s="262"/>
      <c r="C478" s="173"/>
      <c r="D478" s="44"/>
      <c r="E478" s="260"/>
      <c r="F478" s="261"/>
      <c r="G478" s="136">
        <f t="shared" si="24"/>
        <v>1052.4399999999762</v>
      </c>
      <c r="H478" s="130"/>
      <c r="I478" s="328">
        <f t="shared" si="25"/>
        <v>0</v>
      </c>
      <c r="J478" s="329"/>
      <c r="K478" s="329"/>
      <c r="L478" s="333"/>
    </row>
    <row r="479" spans="1:12" ht="15" hidden="1" customHeight="1" x14ac:dyDescent="0.25">
      <c r="A479" s="335"/>
      <c r="B479" s="262"/>
      <c r="C479" s="173"/>
      <c r="D479" s="44"/>
      <c r="E479" s="260"/>
      <c r="F479" s="261"/>
      <c r="G479" s="136">
        <f t="shared" si="24"/>
        <v>1052.4399999999762</v>
      </c>
      <c r="H479" s="130"/>
      <c r="I479" s="328">
        <f t="shared" si="25"/>
        <v>0</v>
      </c>
      <c r="J479" s="329"/>
      <c r="K479" s="329"/>
      <c r="L479" s="333"/>
    </row>
    <row r="480" spans="1:12" ht="15" hidden="1" customHeight="1" x14ac:dyDescent="0.25">
      <c r="A480" s="335"/>
      <c r="B480" s="262"/>
      <c r="C480" s="173"/>
      <c r="D480" s="44"/>
      <c r="E480" s="260"/>
      <c r="F480" s="261"/>
      <c r="G480" s="136">
        <f t="shared" si="24"/>
        <v>1052.4399999999762</v>
      </c>
      <c r="H480" s="130"/>
      <c r="I480" s="328">
        <f t="shared" si="25"/>
        <v>0</v>
      </c>
      <c r="J480" s="329"/>
      <c r="K480" s="329"/>
      <c r="L480" s="333"/>
    </row>
    <row r="481" spans="1:12" ht="15" hidden="1" customHeight="1" x14ac:dyDescent="0.25">
      <c r="A481" s="335"/>
      <c r="B481" s="262"/>
      <c r="C481" s="173"/>
      <c r="D481" s="44"/>
      <c r="E481" s="260"/>
      <c r="F481" s="261"/>
      <c r="G481" s="136">
        <f t="shared" si="24"/>
        <v>1052.4399999999762</v>
      </c>
      <c r="H481" s="130"/>
      <c r="I481" s="328">
        <f t="shared" si="25"/>
        <v>0</v>
      </c>
      <c r="J481" s="329"/>
      <c r="K481" s="329"/>
      <c r="L481" s="333"/>
    </row>
    <row r="482" spans="1:12" ht="15" hidden="1" customHeight="1" x14ac:dyDescent="0.25">
      <c r="A482" s="335"/>
      <c r="B482" s="262"/>
      <c r="C482" s="258"/>
      <c r="D482" s="259"/>
      <c r="E482" s="260"/>
      <c r="F482" s="261"/>
      <c r="G482" s="136">
        <f t="shared" si="24"/>
        <v>1052.4399999999762</v>
      </c>
      <c r="H482" s="130"/>
      <c r="I482" s="328">
        <f t="shared" si="25"/>
        <v>0</v>
      </c>
      <c r="J482" s="329"/>
      <c r="K482" s="329"/>
      <c r="L482" s="333"/>
    </row>
    <row r="483" spans="1:12" ht="15" hidden="1" customHeight="1" x14ac:dyDescent="0.25">
      <c r="A483" s="335"/>
      <c r="B483" s="262"/>
      <c r="C483" s="258"/>
      <c r="D483" s="259"/>
      <c r="E483" s="260"/>
      <c r="F483" s="261"/>
      <c r="G483" s="136">
        <f t="shared" si="24"/>
        <v>1052.4399999999762</v>
      </c>
      <c r="H483" s="130"/>
      <c r="I483" s="328">
        <f t="shared" si="25"/>
        <v>0</v>
      </c>
      <c r="J483" s="329"/>
      <c r="K483" s="329"/>
      <c r="L483" s="333"/>
    </row>
    <row r="484" spans="1:12" ht="15" hidden="1" customHeight="1" x14ac:dyDescent="0.25">
      <c r="A484" s="335"/>
      <c r="B484" s="262"/>
      <c r="C484" s="258"/>
      <c r="D484" s="259"/>
      <c r="E484" s="260"/>
      <c r="F484" s="261"/>
      <c r="G484" s="136">
        <f t="shared" si="24"/>
        <v>1052.4399999999762</v>
      </c>
      <c r="H484" s="130"/>
      <c r="I484" s="328">
        <f t="shared" si="25"/>
        <v>0</v>
      </c>
      <c r="J484" s="329"/>
      <c r="K484" s="329"/>
      <c r="L484" s="333"/>
    </row>
    <row r="485" spans="1:12" ht="15" hidden="1" customHeight="1" x14ac:dyDescent="0.25">
      <c r="A485" s="335"/>
      <c r="B485" s="168"/>
      <c r="C485" s="169"/>
      <c r="D485" s="170"/>
      <c r="E485" s="167"/>
      <c r="F485" s="167"/>
      <c r="G485" s="136">
        <f t="shared" si="24"/>
        <v>1052.4399999999762</v>
      </c>
      <c r="H485" s="130"/>
      <c r="I485" s="328">
        <f t="shared" si="25"/>
        <v>0</v>
      </c>
      <c r="J485" s="329"/>
      <c r="K485" s="329"/>
      <c r="L485" s="333"/>
    </row>
    <row r="486" spans="1:12" ht="15" hidden="1" customHeight="1" x14ac:dyDescent="0.25">
      <c r="A486" s="335"/>
      <c r="B486" s="168"/>
      <c r="C486" s="169"/>
      <c r="D486" s="170"/>
      <c r="E486" s="167"/>
      <c r="F486" s="167"/>
      <c r="G486" s="136">
        <f t="shared" si="24"/>
        <v>1052.4399999999762</v>
      </c>
      <c r="H486" s="130"/>
      <c r="I486" s="328">
        <f t="shared" si="25"/>
        <v>0</v>
      </c>
      <c r="J486" s="329"/>
      <c r="K486" s="329"/>
      <c r="L486" s="333"/>
    </row>
    <row r="487" spans="1:12" ht="15" hidden="1" customHeight="1" x14ac:dyDescent="0.25">
      <c r="A487" s="335"/>
      <c r="B487" s="168"/>
      <c r="C487" s="169"/>
      <c r="D487" s="170"/>
      <c r="E487" s="167"/>
      <c r="F487" s="167"/>
      <c r="G487" s="136">
        <f t="shared" si="24"/>
        <v>1052.4399999999762</v>
      </c>
      <c r="H487" s="130"/>
      <c r="I487" s="328">
        <f t="shared" si="25"/>
        <v>0</v>
      </c>
      <c r="J487" s="329"/>
      <c r="K487" s="329"/>
      <c r="L487" s="333"/>
    </row>
    <row r="488" spans="1:12" ht="15" hidden="1" customHeight="1" x14ac:dyDescent="0.25">
      <c r="A488" s="335"/>
      <c r="B488" s="168"/>
      <c r="C488" s="169"/>
      <c r="D488" s="170"/>
      <c r="E488" s="167"/>
      <c r="F488" s="167"/>
      <c r="G488" s="136">
        <f t="shared" si="24"/>
        <v>1052.4399999999762</v>
      </c>
      <c r="H488" s="130"/>
      <c r="I488" s="328">
        <f t="shared" si="25"/>
        <v>0</v>
      </c>
      <c r="J488" s="329"/>
      <c r="K488" s="329"/>
      <c r="L488" s="333"/>
    </row>
    <row r="489" spans="1:12" ht="15" hidden="1" customHeight="1" x14ac:dyDescent="0.25">
      <c r="A489" s="335"/>
      <c r="B489" s="168"/>
      <c r="C489" s="169"/>
      <c r="D489" s="170"/>
      <c r="E489" s="167"/>
      <c r="F489" s="167"/>
      <c r="G489" s="136">
        <f t="shared" si="24"/>
        <v>1052.4399999999762</v>
      </c>
      <c r="H489" s="130"/>
      <c r="I489" s="328">
        <f t="shared" si="25"/>
        <v>0</v>
      </c>
      <c r="J489" s="329"/>
      <c r="K489" s="329"/>
      <c r="L489" s="333"/>
    </row>
    <row r="490" spans="1:12" ht="15" hidden="1" customHeight="1" x14ac:dyDescent="0.25">
      <c r="A490" s="335"/>
      <c r="B490" s="168"/>
      <c r="C490" s="169"/>
      <c r="D490" s="170"/>
      <c r="E490" s="167"/>
      <c r="F490" s="167"/>
      <c r="G490" s="136">
        <f t="shared" si="24"/>
        <v>1052.4399999999762</v>
      </c>
      <c r="H490" s="130"/>
      <c r="I490" s="328">
        <f t="shared" si="25"/>
        <v>0</v>
      </c>
      <c r="J490" s="329"/>
      <c r="K490" s="329"/>
      <c r="L490" s="333"/>
    </row>
    <row r="491" spans="1:12" ht="15" hidden="1" customHeight="1" x14ac:dyDescent="0.25">
      <c r="A491" s="335"/>
      <c r="B491" s="168"/>
      <c r="C491" s="169"/>
      <c r="D491" s="170"/>
      <c r="E491" s="167"/>
      <c r="F491" s="167"/>
      <c r="G491" s="136">
        <f t="shared" si="24"/>
        <v>1052.4399999999762</v>
      </c>
      <c r="H491" s="130"/>
      <c r="I491" s="328">
        <f t="shared" si="25"/>
        <v>0</v>
      </c>
      <c r="J491" s="329"/>
      <c r="K491" s="329"/>
      <c r="L491" s="333"/>
    </row>
    <row r="492" spans="1:12" ht="15" hidden="1" customHeight="1" x14ac:dyDescent="0.25">
      <c r="A492" s="335"/>
      <c r="B492" s="168"/>
      <c r="C492" s="169"/>
      <c r="D492" s="170"/>
      <c r="E492" s="167"/>
      <c r="F492" s="167"/>
      <c r="G492" s="136">
        <f t="shared" si="24"/>
        <v>1052.4399999999762</v>
      </c>
      <c r="H492" s="130"/>
      <c r="I492" s="328">
        <f t="shared" si="25"/>
        <v>0</v>
      </c>
      <c r="J492" s="329"/>
      <c r="K492" s="329"/>
      <c r="L492" s="333"/>
    </row>
    <row r="493" spans="1:12" ht="15" hidden="1" customHeight="1" x14ac:dyDescent="0.25">
      <c r="A493" s="335"/>
      <c r="B493" s="168"/>
      <c r="C493" s="169"/>
      <c r="D493" s="170"/>
      <c r="E493" s="167"/>
      <c r="F493" s="167"/>
      <c r="G493" s="136">
        <f t="shared" si="24"/>
        <v>1052.4399999999762</v>
      </c>
      <c r="H493" s="130"/>
      <c r="I493" s="328">
        <f t="shared" si="25"/>
        <v>0</v>
      </c>
      <c r="J493" s="329"/>
      <c r="K493" s="329"/>
      <c r="L493" s="333"/>
    </row>
    <row r="494" spans="1:12" ht="15" hidden="1" customHeight="1" x14ac:dyDescent="0.25">
      <c r="A494" s="335"/>
      <c r="B494" s="168"/>
      <c r="C494" s="169"/>
      <c r="D494" s="170"/>
      <c r="E494" s="167"/>
      <c r="F494" s="167"/>
      <c r="G494" s="136">
        <f t="shared" si="24"/>
        <v>1052.4399999999762</v>
      </c>
      <c r="H494" s="130"/>
      <c r="I494" s="328">
        <f t="shared" si="25"/>
        <v>0</v>
      </c>
      <c r="J494" s="329"/>
      <c r="K494" s="329"/>
      <c r="L494" s="333"/>
    </row>
    <row r="495" spans="1:12" ht="15" hidden="1" customHeight="1" x14ac:dyDescent="0.25">
      <c r="A495" s="335"/>
      <c r="B495" s="168"/>
      <c r="C495" s="169"/>
      <c r="D495" s="170"/>
      <c r="E495" s="167"/>
      <c r="F495" s="167"/>
      <c r="G495" s="136">
        <f t="shared" si="24"/>
        <v>1052.4399999999762</v>
      </c>
      <c r="H495" s="130"/>
      <c r="I495" s="328">
        <f t="shared" si="25"/>
        <v>0</v>
      </c>
      <c r="J495" s="329"/>
      <c r="K495" s="329"/>
      <c r="L495" s="333"/>
    </row>
    <row r="496" spans="1:12" ht="15" hidden="1" customHeight="1" x14ac:dyDescent="0.25">
      <c r="A496" s="335"/>
      <c r="B496" s="168"/>
      <c r="C496" s="169"/>
      <c r="D496" s="170"/>
      <c r="E496" s="167"/>
      <c r="F496" s="167"/>
      <c r="G496" s="136">
        <f t="shared" si="24"/>
        <v>1052.4399999999762</v>
      </c>
      <c r="H496" s="130"/>
      <c r="I496" s="328">
        <f t="shared" si="25"/>
        <v>0</v>
      </c>
      <c r="J496" s="329"/>
      <c r="K496" s="329"/>
      <c r="L496" s="333"/>
    </row>
    <row r="497" spans="1:12" ht="15" hidden="1" customHeight="1" x14ac:dyDescent="0.25">
      <c r="A497" s="335"/>
      <c r="B497" s="168"/>
      <c r="C497" s="169"/>
      <c r="D497" s="170"/>
      <c r="E497" s="167"/>
      <c r="F497" s="167"/>
      <c r="G497" s="136">
        <f t="shared" si="24"/>
        <v>1052.4399999999762</v>
      </c>
      <c r="H497" s="130"/>
      <c r="I497" s="328">
        <f t="shared" si="25"/>
        <v>0</v>
      </c>
      <c r="J497" s="329"/>
      <c r="K497" s="329"/>
      <c r="L497" s="333"/>
    </row>
    <row r="498" spans="1:12" ht="15" hidden="1" customHeight="1" x14ac:dyDescent="0.25">
      <c r="A498" s="335"/>
      <c r="B498" s="168"/>
      <c r="C498" s="169"/>
      <c r="D498" s="170"/>
      <c r="E498" s="167"/>
      <c r="F498" s="167"/>
      <c r="G498" s="136">
        <f t="shared" si="24"/>
        <v>1052.4399999999762</v>
      </c>
      <c r="H498" s="130"/>
      <c r="I498" s="328">
        <f t="shared" si="25"/>
        <v>0</v>
      </c>
      <c r="J498" s="329"/>
      <c r="K498" s="329"/>
      <c r="L498" s="333"/>
    </row>
    <row r="499" spans="1:12" ht="15" hidden="1" customHeight="1" x14ac:dyDescent="0.25">
      <c r="A499" s="335"/>
      <c r="B499" s="168"/>
      <c r="C499" s="169"/>
      <c r="D499" s="170"/>
      <c r="E499" s="167"/>
      <c r="F499" s="167"/>
      <c r="G499" s="136">
        <f t="shared" si="24"/>
        <v>1052.4399999999762</v>
      </c>
      <c r="H499" s="130"/>
      <c r="I499" s="328">
        <f t="shared" si="25"/>
        <v>0</v>
      </c>
      <c r="J499" s="329"/>
      <c r="K499" s="329"/>
      <c r="L499" s="333"/>
    </row>
    <row r="500" spans="1:12" ht="15" hidden="1" customHeight="1" x14ac:dyDescent="0.25">
      <c r="A500" s="335"/>
      <c r="B500" s="168"/>
      <c r="C500" s="169"/>
      <c r="D500" s="170"/>
      <c r="E500" s="167"/>
      <c r="F500" s="167"/>
      <c r="G500" s="136">
        <f t="shared" si="24"/>
        <v>1052.4399999999762</v>
      </c>
      <c r="H500" s="130"/>
      <c r="I500" s="328">
        <f t="shared" si="25"/>
        <v>0</v>
      </c>
      <c r="J500" s="329"/>
      <c r="K500" s="329"/>
      <c r="L500" s="333"/>
    </row>
    <row r="501" spans="1:12" ht="15" hidden="1" customHeight="1" x14ac:dyDescent="0.25">
      <c r="A501" s="335"/>
      <c r="B501" s="168"/>
      <c r="C501" s="169"/>
      <c r="D501" s="170"/>
      <c r="E501" s="167"/>
      <c r="F501" s="167"/>
      <c r="G501" s="136">
        <f t="shared" si="24"/>
        <v>1052.4399999999762</v>
      </c>
      <c r="H501" s="130"/>
      <c r="I501" s="328">
        <f t="shared" si="25"/>
        <v>0</v>
      </c>
      <c r="J501" s="329"/>
      <c r="K501" s="329"/>
      <c r="L501" s="333"/>
    </row>
    <row r="502" spans="1:12" ht="15" hidden="1" customHeight="1" x14ac:dyDescent="0.25">
      <c r="A502" s="335"/>
      <c r="B502" s="168"/>
      <c r="C502" s="169"/>
      <c r="D502" s="170"/>
      <c r="E502" s="167"/>
      <c r="F502" s="167"/>
      <c r="G502" s="136">
        <f t="shared" si="24"/>
        <v>1052.4399999999762</v>
      </c>
      <c r="H502" s="130"/>
      <c r="I502" s="328">
        <f t="shared" si="25"/>
        <v>0</v>
      </c>
      <c r="J502" s="329"/>
      <c r="K502" s="329"/>
      <c r="L502" s="333"/>
    </row>
    <row r="503" spans="1:12" ht="15" hidden="1" customHeight="1" x14ac:dyDescent="0.25">
      <c r="A503" s="335"/>
      <c r="B503" s="168"/>
      <c r="C503" s="169"/>
      <c r="D503" s="170"/>
      <c r="E503" s="167"/>
      <c r="F503" s="167"/>
      <c r="G503" s="136">
        <f t="shared" si="24"/>
        <v>1052.4399999999762</v>
      </c>
      <c r="H503" s="130"/>
      <c r="I503" s="328">
        <f t="shared" si="25"/>
        <v>0</v>
      </c>
      <c r="J503" s="329"/>
      <c r="K503" s="329"/>
      <c r="L503" s="333"/>
    </row>
    <row r="504" spans="1:12" ht="15" hidden="1" customHeight="1" x14ac:dyDescent="0.25">
      <c r="A504" s="335"/>
      <c r="B504" s="168"/>
      <c r="C504" s="169"/>
      <c r="D504" s="170"/>
      <c r="E504" s="167"/>
      <c r="F504" s="167"/>
      <c r="G504" s="136">
        <f t="shared" si="24"/>
        <v>1052.4399999999762</v>
      </c>
      <c r="H504" s="130"/>
      <c r="I504" s="328">
        <f t="shared" si="25"/>
        <v>0</v>
      </c>
      <c r="J504" s="329"/>
      <c r="K504" s="329"/>
      <c r="L504" s="333"/>
    </row>
    <row r="505" spans="1:12" ht="15" hidden="1" customHeight="1" x14ac:dyDescent="0.25">
      <c r="A505" s="335"/>
      <c r="B505" s="168"/>
      <c r="C505" s="169"/>
      <c r="D505" s="170"/>
      <c r="E505" s="167"/>
      <c r="F505" s="167"/>
      <c r="G505" s="136">
        <f t="shared" si="24"/>
        <v>1052.4399999999762</v>
      </c>
      <c r="H505" s="130"/>
      <c r="I505" s="328">
        <f t="shared" si="25"/>
        <v>0</v>
      </c>
      <c r="J505" s="329"/>
      <c r="K505" s="329"/>
      <c r="L505" s="333"/>
    </row>
    <row r="506" spans="1:12" ht="15" hidden="1" customHeight="1" x14ac:dyDescent="0.25">
      <c r="A506" s="335"/>
      <c r="B506" s="168"/>
      <c r="C506" s="169"/>
      <c r="D506" s="170"/>
      <c r="E506" s="167"/>
      <c r="F506" s="167"/>
      <c r="G506" s="136">
        <f t="shared" si="24"/>
        <v>1052.4399999999762</v>
      </c>
      <c r="H506" s="130"/>
      <c r="I506" s="328">
        <f t="shared" si="25"/>
        <v>0</v>
      </c>
      <c r="J506" s="329"/>
      <c r="K506" s="329"/>
      <c r="L506" s="333"/>
    </row>
    <row r="507" spans="1:12" ht="15" hidden="1" customHeight="1" x14ac:dyDescent="0.25">
      <c r="A507" s="335"/>
      <c r="B507" s="168"/>
      <c r="C507" s="169"/>
      <c r="D507" s="170"/>
      <c r="E507" s="167"/>
      <c r="F507" s="167"/>
      <c r="G507" s="136">
        <f t="shared" si="24"/>
        <v>1052.4399999999762</v>
      </c>
      <c r="H507" s="130"/>
      <c r="I507" s="328">
        <f t="shared" si="25"/>
        <v>0</v>
      </c>
      <c r="J507" s="329"/>
      <c r="K507" s="329"/>
      <c r="L507" s="333"/>
    </row>
    <row r="508" spans="1:12" ht="15" hidden="1" customHeight="1" x14ac:dyDescent="0.25">
      <c r="A508" s="335"/>
      <c r="B508" s="168"/>
      <c r="C508" s="169"/>
      <c r="D508" s="170"/>
      <c r="E508" s="167"/>
      <c r="F508" s="167"/>
      <c r="G508" s="136">
        <f t="shared" si="24"/>
        <v>1052.4399999999762</v>
      </c>
      <c r="H508" s="130"/>
      <c r="I508" s="328">
        <f t="shared" si="25"/>
        <v>0</v>
      </c>
      <c r="J508" s="329"/>
      <c r="K508" s="329"/>
      <c r="L508" s="333"/>
    </row>
    <row r="509" spans="1:12" ht="15" hidden="1" customHeight="1" x14ac:dyDescent="0.25">
      <c r="A509" s="335"/>
      <c r="B509" s="168"/>
      <c r="C509" s="169"/>
      <c r="D509" s="170"/>
      <c r="E509" s="167"/>
      <c r="F509" s="167"/>
      <c r="G509" s="136">
        <f t="shared" si="24"/>
        <v>1052.4399999999762</v>
      </c>
      <c r="H509" s="130"/>
      <c r="I509" s="328">
        <f t="shared" si="25"/>
        <v>0</v>
      </c>
      <c r="J509" s="329"/>
      <c r="K509" s="329"/>
      <c r="L509" s="333"/>
    </row>
    <row r="510" spans="1:12" ht="15" hidden="1" customHeight="1" x14ac:dyDescent="0.25">
      <c r="A510" s="335"/>
      <c r="B510" s="168"/>
      <c r="C510" s="169"/>
      <c r="D510" s="170"/>
      <c r="E510" s="167"/>
      <c r="F510" s="167"/>
      <c r="G510" s="136">
        <f t="shared" si="24"/>
        <v>1052.4399999999762</v>
      </c>
      <c r="H510" s="130"/>
      <c r="I510" s="328">
        <f t="shared" si="25"/>
        <v>0</v>
      </c>
      <c r="J510" s="329"/>
      <c r="K510" s="329"/>
      <c r="L510" s="333"/>
    </row>
    <row r="511" spans="1:12" ht="15" hidden="1" customHeight="1" x14ac:dyDescent="0.25">
      <c r="A511" s="335"/>
      <c r="B511" s="168"/>
      <c r="C511" s="169"/>
      <c r="D511" s="170"/>
      <c r="E511" s="167"/>
      <c r="F511" s="167"/>
      <c r="G511" s="136">
        <f t="shared" si="24"/>
        <v>1052.4399999999762</v>
      </c>
      <c r="H511" s="130"/>
      <c r="I511" s="328">
        <f t="shared" si="25"/>
        <v>0</v>
      </c>
      <c r="J511" s="329"/>
      <c r="K511" s="329"/>
      <c r="L511" s="333"/>
    </row>
    <row r="512" spans="1:12" ht="15" hidden="1" customHeight="1" x14ac:dyDescent="0.25">
      <c r="A512" s="335"/>
      <c r="B512" s="168"/>
      <c r="C512" s="169"/>
      <c r="D512" s="170"/>
      <c r="E512" s="167"/>
      <c r="F512" s="167"/>
      <c r="G512" s="136">
        <f t="shared" si="24"/>
        <v>1052.4399999999762</v>
      </c>
      <c r="H512" s="130"/>
      <c r="I512" s="328">
        <f t="shared" si="25"/>
        <v>0</v>
      </c>
      <c r="J512" s="329"/>
      <c r="K512" s="329"/>
      <c r="L512" s="333"/>
    </row>
    <row r="513" spans="1:12" ht="15" hidden="1" customHeight="1" x14ac:dyDescent="0.25">
      <c r="A513" s="335"/>
      <c r="B513" s="168"/>
      <c r="C513" s="169"/>
      <c r="D513" s="170"/>
      <c r="E513" s="167"/>
      <c r="F513" s="167"/>
      <c r="G513" s="136">
        <f t="shared" si="24"/>
        <v>1052.4399999999762</v>
      </c>
      <c r="H513" s="130"/>
      <c r="I513" s="328">
        <f t="shared" si="25"/>
        <v>0</v>
      </c>
      <c r="J513" s="329"/>
      <c r="K513" s="329"/>
      <c r="L513" s="333"/>
    </row>
    <row r="514" spans="1:12" ht="15" hidden="1" customHeight="1" x14ac:dyDescent="0.25">
      <c r="A514" s="335"/>
      <c r="B514" s="168"/>
      <c r="C514" s="169"/>
      <c r="D514" s="170"/>
      <c r="E514" s="167"/>
      <c r="F514" s="167"/>
      <c r="G514" s="136">
        <f t="shared" si="24"/>
        <v>1052.4399999999762</v>
      </c>
      <c r="H514" s="130"/>
      <c r="I514" s="328">
        <f t="shared" si="25"/>
        <v>0</v>
      </c>
      <c r="J514" s="329"/>
      <c r="K514" s="329"/>
      <c r="L514" s="333"/>
    </row>
    <row r="515" spans="1:12" ht="15" hidden="1" customHeight="1" x14ac:dyDescent="0.25">
      <c r="A515" s="335"/>
      <c r="B515" s="168"/>
      <c r="C515" s="169"/>
      <c r="D515" s="170"/>
      <c r="E515" s="167"/>
      <c r="F515" s="167"/>
      <c r="G515" s="136">
        <f t="shared" si="24"/>
        <v>1052.4399999999762</v>
      </c>
      <c r="H515" s="130"/>
      <c r="I515" s="328">
        <f t="shared" si="25"/>
        <v>0</v>
      </c>
      <c r="J515" s="329"/>
      <c r="K515" s="329"/>
      <c r="L515" s="333"/>
    </row>
    <row r="516" spans="1:12" ht="15" hidden="1" customHeight="1" x14ac:dyDescent="0.25">
      <c r="A516" s="335"/>
      <c r="B516" s="168"/>
      <c r="C516" s="169"/>
      <c r="D516" s="170"/>
      <c r="E516" s="167"/>
      <c r="F516" s="167"/>
      <c r="G516" s="136">
        <f t="shared" si="24"/>
        <v>1052.4399999999762</v>
      </c>
      <c r="H516" s="130"/>
      <c r="I516" s="328">
        <f t="shared" si="25"/>
        <v>0</v>
      </c>
      <c r="J516" s="329"/>
      <c r="K516" s="329"/>
      <c r="L516" s="333"/>
    </row>
    <row r="517" spans="1:12" ht="15" hidden="1" customHeight="1" x14ac:dyDescent="0.25">
      <c r="A517" s="335"/>
      <c r="B517" s="168"/>
      <c r="C517" s="169"/>
      <c r="D517" s="170"/>
      <c r="E517" s="167"/>
      <c r="F517" s="167"/>
      <c r="G517" s="136">
        <f t="shared" si="24"/>
        <v>1052.4399999999762</v>
      </c>
      <c r="H517" s="130"/>
      <c r="I517" s="328">
        <f t="shared" si="25"/>
        <v>0</v>
      </c>
      <c r="J517" s="329"/>
      <c r="K517" s="329"/>
      <c r="L517" s="333"/>
    </row>
    <row r="518" spans="1:12" ht="15" hidden="1" customHeight="1" x14ac:dyDescent="0.25">
      <c r="A518" s="335"/>
      <c r="B518" s="168"/>
      <c r="C518" s="169"/>
      <c r="D518" s="170"/>
      <c r="E518" s="167"/>
      <c r="F518" s="167"/>
      <c r="G518" s="136">
        <f t="shared" si="24"/>
        <v>1052.4399999999762</v>
      </c>
      <c r="H518" s="130"/>
      <c r="I518" s="328">
        <f t="shared" si="25"/>
        <v>0</v>
      </c>
      <c r="J518" s="329"/>
      <c r="K518" s="329"/>
      <c r="L518" s="333"/>
    </row>
    <row r="519" spans="1:12" ht="15" hidden="1" customHeight="1" x14ac:dyDescent="0.25">
      <c r="A519" s="335"/>
      <c r="B519" s="168"/>
      <c r="C519" s="169"/>
      <c r="D519" s="170"/>
      <c r="E519" s="167"/>
      <c r="F519" s="167"/>
      <c r="G519" s="136">
        <f t="shared" si="24"/>
        <v>1052.4399999999762</v>
      </c>
      <c r="H519" s="130"/>
      <c r="I519" s="328">
        <f t="shared" si="25"/>
        <v>0</v>
      </c>
      <c r="J519" s="329"/>
      <c r="K519" s="329"/>
      <c r="L519" s="333"/>
    </row>
    <row r="520" spans="1:12" ht="15" hidden="1" customHeight="1" x14ac:dyDescent="0.25">
      <c r="A520" s="335"/>
      <c r="B520" s="168"/>
      <c r="C520" s="169"/>
      <c r="D520" s="170"/>
      <c r="E520" s="167"/>
      <c r="F520" s="167"/>
      <c r="G520" s="136">
        <f t="shared" si="24"/>
        <v>1052.4399999999762</v>
      </c>
      <c r="H520" s="130"/>
      <c r="I520" s="328">
        <f t="shared" si="25"/>
        <v>0</v>
      </c>
      <c r="J520" s="329"/>
      <c r="K520" s="329"/>
      <c r="L520" s="333"/>
    </row>
    <row r="521" spans="1:12" ht="15" hidden="1" customHeight="1" x14ac:dyDescent="0.25">
      <c r="A521" s="335"/>
      <c r="B521" s="168"/>
      <c r="C521" s="169"/>
      <c r="D521" s="170"/>
      <c r="E521" s="167"/>
      <c r="F521" s="167"/>
      <c r="G521" s="136">
        <f t="shared" si="24"/>
        <v>1052.4399999999762</v>
      </c>
      <c r="H521" s="130"/>
      <c r="I521" s="328">
        <f t="shared" si="25"/>
        <v>0</v>
      </c>
      <c r="J521" s="329"/>
      <c r="K521" s="329"/>
      <c r="L521" s="333"/>
    </row>
    <row r="522" spans="1:12" ht="15" hidden="1" customHeight="1" x14ac:dyDescent="0.25">
      <c r="A522" s="335"/>
      <c r="B522" s="168"/>
      <c r="C522" s="169"/>
      <c r="D522" s="170"/>
      <c r="E522" s="167"/>
      <c r="F522" s="167"/>
      <c r="G522" s="136">
        <f t="shared" si="24"/>
        <v>1052.4399999999762</v>
      </c>
      <c r="H522" s="130"/>
      <c r="I522" s="328">
        <f t="shared" ref="I522:I550" si="26">E522-F522</f>
        <v>0</v>
      </c>
      <c r="J522" s="329"/>
      <c r="K522" s="329"/>
      <c r="L522" s="333"/>
    </row>
    <row r="523" spans="1:12" ht="15" hidden="1" customHeight="1" x14ac:dyDescent="0.25">
      <c r="A523" s="335"/>
      <c r="B523" s="168"/>
      <c r="C523" s="169"/>
      <c r="D523" s="170"/>
      <c r="E523" s="167"/>
      <c r="F523" s="167"/>
      <c r="G523" s="136">
        <f t="shared" si="24"/>
        <v>1052.4399999999762</v>
      </c>
      <c r="H523" s="130"/>
      <c r="I523" s="328">
        <f t="shared" si="26"/>
        <v>0</v>
      </c>
      <c r="J523" s="329"/>
      <c r="K523" s="329"/>
      <c r="L523" s="333"/>
    </row>
    <row r="524" spans="1:12" ht="15" hidden="1" customHeight="1" x14ac:dyDescent="0.25">
      <c r="A524" s="335"/>
      <c r="B524" s="168"/>
      <c r="C524" s="169"/>
      <c r="D524" s="170"/>
      <c r="E524" s="167"/>
      <c r="F524" s="167"/>
      <c r="G524" s="136">
        <f t="shared" si="24"/>
        <v>1052.4399999999762</v>
      </c>
      <c r="H524" s="130"/>
      <c r="I524" s="328">
        <f t="shared" si="26"/>
        <v>0</v>
      </c>
      <c r="J524" s="329"/>
      <c r="K524" s="329"/>
      <c r="L524" s="333"/>
    </row>
    <row r="525" spans="1:12" ht="15" hidden="1" customHeight="1" x14ac:dyDescent="0.25">
      <c r="A525" s="335"/>
      <c r="B525" s="168"/>
      <c r="C525" s="169"/>
      <c r="D525" s="170"/>
      <c r="E525" s="167"/>
      <c r="F525" s="167"/>
      <c r="G525" s="136">
        <f t="shared" si="24"/>
        <v>1052.4399999999762</v>
      </c>
      <c r="H525" s="130"/>
      <c r="I525" s="328">
        <f t="shared" si="26"/>
        <v>0</v>
      </c>
      <c r="J525" s="329"/>
      <c r="K525" s="329"/>
      <c r="L525" s="333"/>
    </row>
    <row r="526" spans="1:12" ht="15" hidden="1" customHeight="1" x14ac:dyDescent="0.25">
      <c r="A526" s="335"/>
      <c r="B526" s="168"/>
      <c r="C526" s="169"/>
      <c r="D526" s="170"/>
      <c r="E526" s="167"/>
      <c r="F526" s="167"/>
      <c r="G526" s="136">
        <f t="shared" si="24"/>
        <v>1052.4399999999762</v>
      </c>
      <c r="H526" s="130"/>
      <c r="I526" s="328">
        <f t="shared" si="26"/>
        <v>0</v>
      </c>
      <c r="J526" s="329"/>
      <c r="K526" s="329"/>
      <c r="L526" s="333"/>
    </row>
    <row r="527" spans="1:12" ht="15" hidden="1" customHeight="1" x14ac:dyDescent="0.25">
      <c r="A527" s="335"/>
      <c r="B527" s="168"/>
      <c r="C527" s="169"/>
      <c r="D527" s="170"/>
      <c r="E527" s="167"/>
      <c r="F527" s="167"/>
      <c r="G527" s="136">
        <f t="shared" si="24"/>
        <v>1052.4399999999762</v>
      </c>
      <c r="H527" s="130"/>
      <c r="I527" s="328">
        <f t="shared" si="26"/>
        <v>0</v>
      </c>
      <c r="J527" s="329"/>
      <c r="K527" s="329"/>
      <c r="L527" s="333"/>
    </row>
    <row r="528" spans="1:12" ht="15" hidden="1" customHeight="1" x14ac:dyDescent="0.25">
      <c r="A528" s="335"/>
      <c r="B528" s="168"/>
      <c r="C528" s="169"/>
      <c r="D528" s="170"/>
      <c r="E528" s="167"/>
      <c r="F528" s="167"/>
      <c r="G528" s="136">
        <f t="shared" si="24"/>
        <v>1052.4399999999762</v>
      </c>
      <c r="H528" s="130"/>
      <c r="I528" s="328">
        <f t="shared" si="26"/>
        <v>0</v>
      </c>
      <c r="J528" s="329"/>
      <c r="K528" s="329"/>
      <c r="L528" s="333"/>
    </row>
    <row r="529" spans="1:12" ht="15" hidden="1" customHeight="1" x14ac:dyDescent="0.25">
      <c r="A529" s="335"/>
      <c r="B529" s="168"/>
      <c r="C529" s="169"/>
      <c r="D529" s="170"/>
      <c r="E529" s="167"/>
      <c r="F529" s="167"/>
      <c r="G529" s="136">
        <f t="shared" si="24"/>
        <v>1052.4399999999762</v>
      </c>
      <c r="H529" s="130"/>
      <c r="I529" s="328">
        <f t="shared" si="26"/>
        <v>0</v>
      </c>
      <c r="J529" s="329"/>
      <c r="K529" s="329"/>
      <c r="L529" s="333"/>
    </row>
    <row r="530" spans="1:12" ht="15" hidden="1" customHeight="1" x14ac:dyDescent="0.25">
      <c r="A530" s="335"/>
      <c r="B530" s="168"/>
      <c r="C530" s="169"/>
      <c r="D530" s="170"/>
      <c r="E530" s="167"/>
      <c r="F530" s="167"/>
      <c r="G530" s="136">
        <f t="shared" si="24"/>
        <v>1052.4399999999762</v>
      </c>
      <c r="H530" s="130"/>
      <c r="I530" s="328">
        <f t="shared" si="26"/>
        <v>0</v>
      </c>
      <c r="J530" s="329"/>
      <c r="K530" s="329"/>
      <c r="L530" s="333"/>
    </row>
    <row r="531" spans="1:12" ht="15" hidden="1" customHeight="1" x14ac:dyDescent="0.25">
      <c r="A531" s="335"/>
      <c r="B531" s="168"/>
      <c r="C531" s="169"/>
      <c r="D531" s="170"/>
      <c r="E531" s="167"/>
      <c r="F531" s="167"/>
      <c r="G531" s="136">
        <f t="shared" si="24"/>
        <v>1052.4399999999762</v>
      </c>
      <c r="H531" s="130"/>
      <c r="I531" s="328">
        <f t="shared" si="26"/>
        <v>0</v>
      </c>
      <c r="J531" s="329"/>
      <c r="K531" s="329"/>
      <c r="L531" s="333"/>
    </row>
    <row r="532" spans="1:12" ht="15" hidden="1" customHeight="1" x14ac:dyDescent="0.25">
      <c r="A532" s="335"/>
      <c r="B532" s="168"/>
      <c r="C532" s="169"/>
      <c r="D532" s="170"/>
      <c r="E532" s="167"/>
      <c r="F532" s="167"/>
      <c r="G532" s="136">
        <f t="shared" si="24"/>
        <v>1052.4399999999762</v>
      </c>
      <c r="H532" s="130"/>
      <c r="I532" s="328">
        <f t="shared" si="26"/>
        <v>0</v>
      </c>
      <c r="J532" s="329"/>
      <c r="K532" s="329"/>
      <c r="L532" s="333"/>
    </row>
    <row r="533" spans="1:12" ht="15" hidden="1" customHeight="1" x14ac:dyDescent="0.25">
      <c r="A533" s="335"/>
      <c r="B533" s="168"/>
      <c r="C533" s="169"/>
      <c r="D533" s="170"/>
      <c r="E533" s="167"/>
      <c r="F533" s="167"/>
      <c r="G533" s="136">
        <f t="shared" si="24"/>
        <v>1052.4399999999762</v>
      </c>
      <c r="H533" s="130"/>
      <c r="I533" s="328">
        <f t="shared" si="26"/>
        <v>0</v>
      </c>
      <c r="J533" s="329"/>
      <c r="K533" s="329"/>
      <c r="L533" s="333"/>
    </row>
    <row r="534" spans="1:12" ht="15" hidden="1" customHeight="1" x14ac:dyDescent="0.25">
      <c r="A534" s="335"/>
      <c r="B534" s="168"/>
      <c r="C534" s="169"/>
      <c r="D534" s="170"/>
      <c r="E534" s="167"/>
      <c r="F534" s="167"/>
      <c r="G534" s="136">
        <f t="shared" si="24"/>
        <v>1052.4399999999762</v>
      </c>
      <c r="H534" s="130"/>
      <c r="I534" s="328">
        <f t="shared" si="26"/>
        <v>0</v>
      </c>
      <c r="J534" s="329"/>
      <c r="K534" s="329"/>
      <c r="L534" s="333"/>
    </row>
    <row r="535" spans="1:12" ht="15" hidden="1" customHeight="1" x14ac:dyDescent="0.25">
      <c r="A535" s="335"/>
      <c r="B535" s="168"/>
      <c r="C535" s="169"/>
      <c r="D535" s="170"/>
      <c r="E535" s="167"/>
      <c r="F535" s="167"/>
      <c r="G535" s="136">
        <f t="shared" si="24"/>
        <v>1052.4399999999762</v>
      </c>
      <c r="H535" s="130"/>
      <c r="I535" s="328">
        <f t="shared" si="26"/>
        <v>0</v>
      </c>
      <c r="J535" s="329"/>
      <c r="K535" s="329"/>
      <c r="L535" s="333"/>
    </row>
    <row r="536" spans="1:12" ht="15" hidden="1" customHeight="1" x14ac:dyDescent="0.25">
      <c r="A536" s="335"/>
      <c r="B536" s="168"/>
      <c r="C536" s="169"/>
      <c r="D536" s="170"/>
      <c r="E536" s="167"/>
      <c r="F536" s="167"/>
      <c r="G536" s="136">
        <f t="shared" si="24"/>
        <v>1052.4399999999762</v>
      </c>
      <c r="H536" s="130"/>
      <c r="I536" s="328">
        <f t="shared" si="26"/>
        <v>0</v>
      </c>
      <c r="J536" s="329"/>
      <c r="K536" s="329"/>
      <c r="L536" s="333"/>
    </row>
    <row r="537" spans="1:12" ht="15" hidden="1" customHeight="1" x14ac:dyDescent="0.25">
      <c r="A537" s="335"/>
      <c r="B537" s="168"/>
      <c r="C537" s="169"/>
      <c r="D537" s="170"/>
      <c r="E537" s="167"/>
      <c r="F537" s="167"/>
      <c r="G537" s="136">
        <f t="shared" si="24"/>
        <v>1052.4399999999762</v>
      </c>
      <c r="H537" s="130"/>
      <c r="I537" s="328">
        <f t="shared" si="26"/>
        <v>0</v>
      </c>
      <c r="J537" s="329"/>
      <c r="K537" s="329"/>
      <c r="L537" s="333"/>
    </row>
    <row r="538" spans="1:12" ht="15" hidden="1" customHeight="1" x14ac:dyDescent="0.25">
      <c r="A538" s="335"/>
      <c r="B538" s="168"/>
      <c r="C538" s="169"/>
      <c r="D538" s="170"/>
      <c r="E538" s="167"/>
      <c r="F538" s="167"/>
      <c r="G538" s="136">
        <f t="shared" si="24"/>
        <v>1052.4399999999762</v>
      </c>
      <c r="H538" s="130"/>
      <c r="I538" s="328">
        <f t="shared" si="26"/>
        <v>0</v>
      </c>
      <c r="J538" s="329"/>
      <c r="K538" s="329"/>
      <c r="L538" s="333"/>
    </row>
    <row r="539" spans="1:12" ht="15" hidden="1" customHeight="1" x14ac:dyDescent="0.25">
      <c r="A539" s="335"/>
      <c r="B539" s="168"/>
      <c r="C539" s="169"/>
      <c r="D539" s="170"/>
      <c r="E539" s="167"/>
      <c r="F539" s="167"/>
      <c r="G539" s="136">
        <f t="shared" si="24"/>
        <v>1052.4399999999762</v>
      </c>
      <c r="H539" s="130"/>
      <c r="I539" s="328">
        <f t="shared" si="26"/>
        <v>0</v>
      </c>
      <c r="J539" s="329"/>
      <c r="K539" s="329"/>
      <c r="L539" s="333"/>
    </row>
    <row r="540" spans="1:12" ht="15" hidden="1" customHeight="1" x14ac:dyDescent="0.25">
      <c r="A540" s="335"/>
      <c r="B540" s="168"/>
      <c r="C540" s="169"/>
      <c r="D540" s="170"/>
      <c r="E540" s="167"/>
      <c r="F540" s="167"/>
      <c r="G540" s="136">
        <f t="shared" si="24"/>
        <v>1052.4399999999762</v>
      </c>
      <c r="H540" s="130"/>
      <c r="I540" s="328">
        <f t="shared" si="26"/>
        <v>0</v>
      </c>
      <c r="J540" s="329"/>
      <c r="K540" s="329"/>
      <c r="L540" s="333"/>
    </row>
    <row r="541" spans="1:12" ht="15" hidden="1" customHeight="1" x14ac:dyDescent="0.25">
      <c r="A541" s="335"/>
      <c r="B541" s="168"/>
      <c r="C541" s="169"/>
      <c r="D541" s="171"/>
      <c r="E541" s="167"/>
      <c r="F541" s="167"/>
      <c r="G541" s="136">
        <f t="shared" si="24"/>
        <v>1052.4399999999762</v>
      </c>
      <c r="H541" s="130"/>
      <c r="I541" s="328">
        <f t="shared" si="26"/>
        <v>0</v>
      </c>
      <c r="J541" s="329"/>
      <c r="K541" s="329"/>
      <c r="L541" s="333"/>
    </row>
    <row r="542" spans="1:12" ht="15" hidden="1" customHeight="1" x14ac:dyDescent="0.25">
      <c r="A542" s="335"/>
      <c r="B542" s="168"/>
      <c r="C542" s="169"/>
      <c r="D542" s="170"/>
      <c r="E542" s="167"/>
      <c r="F542" s="167"/>
      <c r="G542" s="136">
        <f t="shared" si="24"/>
        <v>1052.4399999999762</v>
      </c>
      <c r="H542" s="130"/>
      <c r="I542" s="328">
        <f t="shared" si="26"/>
        <v>0</v>
      </c>
      <c r="J542" s="329"/>
      <c r="K542" s="329"/>
      <c r="L542" s="333"/>
    </row>
    <row r="543" spans="1:12" ht="15" hidden="1" customHeight="1" x14ac:dyDescent="0.25">
      <c r="A543" s="335"/>
      <c r="B543" s="168"/>
      <c r="C543" s="169"/>
      <c r="D543" s="171"/>
      <c r="E543" s="167"/>
      <c r="F543" s="167"/>
      <c r="G543" s="136">
        <f t="shared" si="24"/>
        <v>1052.4399999999762</v>
      </c>
      <c r="H543" s="130"/>
      <c r="I543" s="328">
        <f t="shared" si="26"/>
        <v>0</v>
      </c>
      <c r="J543" s="329"/>
      <c r="K543" s="329"/>
      <c r="L543" s="333"/>
    </row>
    <row r="544" spans="1:12" ht="15" hidden="1" customHeight="1" x14ac:dyDescent="0.25">
      <c r="A544" s="335"/>
      <c r="B544" s="168"/>
      <c r="C544" s="169"/>
      <c r="D544" s="170"/>
      <c r="E544" s="167"/>
      <c r="F544" s="167"/>
      <c r="G544" s="136">
        <f t="shared" ref="G544:G545" si="27">+G543+E544-F544</f>
        <v>1052.4399999999762</v>
      </c>
      <c r="H544" s="130"/>
      <c r="I544" s="328">
        <f t="shared" si="26"/>
        <v>0</v>
      </c>
      <c r="J544" s="329"/>
      <c r="K544" s="329"/>
      <c r="L544" s="333"/>
    </row>
    <row r="545" spans="1:12" ht="15" hidden="1" customHeight="1" x14ac:dyDescent="0.25">
      <c r="A545" s="335"/>
      <c r="B545" s="168"/>
      <c r="C545" s="169"/>
      <c r="D545" s="170"/>
      <c r="E545" s="167"/>
      <c r="F545" s="167"/>
      <c r="G545" s="136">
        <f t="shared" si="27"/>
        <v>1052.4399999999762</v>
      </c>
      <c r="H545" s="130"/>
      <c r="I545" s="328">
        <f t="shared" si="26"/>
        <v>0</v>
      </c>
      <c r="J545" s="329"/>
      <c r="K545" s="329"/>
      <c r="L545" s="333"/>
    </row>
    <row r="546" spans="1:12" ht="15" hidden="1" customHeight="1" x14ac:dyDescent="0.25">
      <c r="A546" s="335"/>
      <c r="B546" s="168"/>
      <c r="C546" s="169"/>
      <c r="D546" s="170"/>
      <c r="E546" s="167"/>
      <c r="F546" s="167"/>
      <c r="G546" s="136">
        <f t="shared" ref="G546:G547" si="28">+G545+E546-F546</f>
        <v>1052.4399999999762</v>
      </c>
      <c r="H546" s="130"/>
      <c r="I546" s="328">
        <f t="shared" si="26"/>
        <v>0</v>
      </c>
      <c r="J546" s="329"/>
      <c r="K546" s="329"/>
      <c r="L546" s="333"/>
    </row>
    <row r="547" spans="1:12" ht="15" hidden="1" customHeight="1" x14ac:dyDescent="0.25">
      <c r="A547" s="335"/>
      <c r="B547" s="172"/>
      <c r="C547" s="173"/>
      <c r="D547" s="174"/>
      <c r="E547" s="167"/>
      <c r="F547" s="167"/>
      <c r="G547" s="136">
        <f t="shared" si="28"/>
        <v>1052.4399999999762</v>
      </c>
      <c r="H547" s="130"/>
      <c r="I547" s="328">
        <f t="shared" si="26"/>
        <v>0</v>
      </c>
      <c r="J547" s="329"/>
      <c r="K547" s="329"/>
      <c r="L547" s="333"/>
    </row>
    <row r="548" spans="1:12" ht="15" hidden="1" customHeight="1" x14ac:dyDescent="0.25">
      <c r="A548" s="335"/>
      <c r="B548" s="172"/>
      <c r="C548" s="173"/>
      <c r="D548" s="175"/>
      <c r="E548" s="167"/>
      <c r="F548" s="167"/>
      <c r="G548" s="136">
        <f t="shared" ref="G548:G549" si="29">+G547+E548-F548</f>
        <v>1052.4399999999762</v>
      </c>
      <c r="H548" s="130"/>
      <c r="I548" s="328">
        <f t="shared" si="26"/>
        <v>0</v>
      </c>
      <c r="J548" s="329"/>
      <c r="K548" s="329"/>
      <c r="L548" s="333"/>
    </row>
    <row r="549" spans="1:12" ht="15" hidden="1" customHeight="1" x14ac:dyDescent="0.25">
      <c r="A549" s="335"/>
      <c r="B549" s="168"/>
      <c r="C549" s="169"/>
      <c r="D549" s="171"/>
      <c r="E549" s="167"/>
      <c r="F549" s="167"/>
      <c r="G549" s="136">
        <f t="shared" si="29"/>
        <v>1052.4399999999762</v>
      </c>
      <c r="H549" s="130"/>
      <c r="I549" s="328">
        <f t="shared" si="26"/>
        <v>0</v>
      </c>
      <c r="J549" s="329"/>
      <c r="K549" s="329"/>
      <c r="L549" s="333"/>
    </row>
    <row r="550" spans="1:12" ht="15" hidden="1" customHeight="1" x14ac:dyDescent="0.25">
      <c r="A550" s="335"/>
      <c r="B550" s="172"/>
      <c r="C550" s="173"/>
      <c r="D550" s="175"/>
      <c r="E550" s="143"/>
      <c r="F550" s="143"/>
      <c r="G550" s="136">
        <f t="shared" ref="G550" si="30">+G549+E550-F550</f>
        <v>1052.4399999999762</v>
      </c>
      <c r="H550" s="130"/>
      <c r="I550" s="328">
        <f t="shared" si="26"/>
        <v>0</v>
      </c>
      <c r="J550" s="329"/>
      <c r="K550" s="329"/>
      <c r="L550" s="333"/>
    </row>
    <row r="551" spans="1:12" ht="15" customHeight="1" thickBot="1" x14ac:dyDescent="0.3">
      <c r="A551" s="335"/>
      <c r="B551" s="113"/>
      <c r="C551" s="114" t="s">
        <v>173</v>
      </c>
      <c r="D551" s="115"/>
      <c r="E551" s="116">
        <f>SUM(E7:E550)</f>
        <v>46618.670000000006</v>
      </c>
      <c r="F551" s="116">
        <f>SUM(F7:F550)</f>
        <v>45566.230000000025</v>
      </c>
      <c r="G551" s="112"/>
      <c r="H551" s="128"/>
      <c r="I551" s="328">
        <f t="shared" ref="I551:K551" si="31">SUM(I7:I550)</f>
        <v>201.11000000000627</v>
      </c>
      <c r="J551" s="329">
        <f t="shared" si="31"/>
        <v>19248.380000000012</v>
      </c>
      <c r="K551" s="329">
        <f t="shared" si="31"/>
        <v>27.720000000000006</v>
      </c>
      <c r="L551" s="329"/>
    </row>
    <row r="552" spans="1:12" ht="24.9" customHeight="1" x14ac:dyDescent="0.25">
      <c r="B552" s="349" t="s">
        <v>14</v>
      </c>
      <c r="C552" s="350"/>
      <c r="D552" s="137">
        <f>SUM(E7:E550)</f>
        <v>46618.670000000006</v>
      </c>
      <c r="E552" s="141" t="s">
        <v>115</v>
      </c>
      <c r="F552" s="142" t="s">
        <v>115</v>
      </c>
      <c r="G552" s="263"/>
      <c r="I552" s="334"/>
      <c r="J552" s="334"/>
      <c r="K552" s="334"/>
    </row>
    <row r="553" spans="1:12" ht="24.9" customHeight="1" x14ac:dyDescent="0.25">
      <c r="B553" s="351" t="s">
        <v>13</v>
      </c>
      <c r="C553" s="352"/>
      <c r="D553" s="138">
        <f>SUM(F7:F550)</f>
        <v>45566.230000000025</v>
      </c>
      <c r="E553" s="166" t="s">
        <v>156</v>
      </c>
      <c r="F553" s="140" t="s">
        <v>157</v>
      </c>
      <c r="G553" s="263"/>
      <c r="H553" s="264"/>
      <c r="I553" s="334"/>
      <c r="K553" s="334"/>
    </row>
    <row r="554" spans="1:12" ht="24.9" customHeight="1" thickBot="1" x14ac:dyDescent="0.3">
      <c r="B554" s="353" t="s">
        <v>115</v>
      </c>
      <c r="C554" s="354"/>
      <c r="D554" s="35">
        <f>D552-D553</f>
        <v>1052.4399999999805</v>
      </c>
      <c r="E554" s="165">
        <f>SUM(Bilan!E5+Bilan!K5)</f>
        <v>18424.770000000044</v>
      </c>
      <c r="F554" s="37">
        <f>D554+E554</f>
        <v>19477.210000000025</v>
      </c>
      <c r="G554" s="263"/>
    </row>
    <row r="555" spans="1:12" ht="12" customHeight="1" thickBot="1" x14ac:dyDescent="0.3">
      <c r="B555" s="265"/>
      <c r="C555" s="266"/>
      <c r="D555" s="267"/>
      <c r="E555" s="268"/>
      <c r="F555" s="268"/>
      <c r="G555" s="263"/>
    </row>
    <row r="556" spans="1:12" ht="24.9" customHeight="1" x14ac:dyDescent="0.25">
      <c r="B556" s="269"/>
      <c r="C556" s="266"/>
      <c r="D556" s="360" t="s">
        <v>159</v>
      </c>
      <c r="E556" s="361"/>
      <c r="F556" s="361"/>
      <c r="G556" s="38">
        <f>SUMIF($C$7:$C$551,"=164000",$E$7:$E$551)</f>
        <v>0</v>
      </c>
    </row>
    <row r="557" spans="1:12" ht="24.9" customHeight="1" x14ac:dyDescent="0.25">
      <c r="B557" s="265"/>
      <c r="C557" s="266"/>
      <c r="D557" s="362" t="s">
        <v>160</v>
      </c>
      <c r="E557" s="363"/>
      <c r="F557" s="363"/>
      <c r="G557" s="39">
        <f>SUMIF($C$7:$C$551,"=164000",$F$7:$F$551)</f>
        <v>0</v>
      </c>
    </row>
    <row r="558" spans="1:12" ht="24.9" customHeight="1" thickBot="1" x14ac:dyDescent="0.3">
      <c r="B558" s="270"/>
      <c r="C558" s="250"/>
      <c r="D558" s="378" t="s">
        <v>158</v>
      </c>
      <c r="E558" s="379"/>
      <c r="F558" s="379"/>
      <c r="G558" s="40">
        <f>G556-G557</f>
        <v>0</v>
      </c>
    </row>
    <row r="559" spans="1:12" ht="12" customHeight="1" x14ac:dyDescent="0.25">
      <c r="B559" s="250"/>
      <c r="C559" s="250"/>
      <c r="D559" s="117"/>
      <c r="E559" s="251"/>
      <c r="F559" s="251"/>
      <c r="G559" s="271"/>
    </row>
    <row r="560" spans="1:12" ht="12" customHeight="1" x14ac:dyDescent="0.25">
      <c r="B560" s="250"/>
      <c r="C560" s="250"/>
      <c r="D560" s="117"/>
      <c r="E560" s="251"/>
      <c r="F560" s="251"/>
      <c r="G560" s="117"/>
    </row>
    <row r="561" spans="2:10" ht="30" customHeight="1" x14ac:dyDescent="0.25">
      <c r="B561" s="250"/>
      <c r="C561" s="370" t="s">
        <v>182</v>
      </c>
      <c r="D561" s="371"/>
      <c r="E561" s="368" t="str">
        <f>E2</f>
        <v>2024-2025</v>
      </c>
      <c r="F561" s="369"/>
      <c r="G561" s="117"/>
    </row>
    <row r="562" spans="2:10" ht="12" customHeight="1" thickBot="1" x14ac:dyDescent="0.3">
      <c r="B562" s="272"/>
      <c r="C562" s="272"/>
      <c r="D562" s="273"/>
      <c r="E562" s="274"/>
      <c r="F562" s="275"/>
      <c r="G562" s="187"/>
    </row>
    <row r="563" spans="2:10" ht="12" customHeight="1" x14ac:dyDescent="0.25">
      <c r="B563" s="276"/>
      <c r="C563" s="277"/>
      <c r="D563" s="278"/>
      <c r="E563" s="279"/>
      <c r="F563" s="279"/>
      <c r="G563" s="183"/>
    </row>
    <row r="564" spans="2:10" ht="20.149999999999999" customHeight="1" x14ac:dyDescent="0.25">
      <c r="B564" s="372" t="s">
        <v>2</v>
      </c>
      <c r="C564" s="373"/>
      <c r="D564" s="373"/>
      <c r="E564" s="373"/>
      <c r="F564" s="373"/>
      <c r="G564" s="374"/>
    </row>
    <row r="565" spans="2:10" ht="12" customHeight="1" x14ac:dyDescent="0.25">
      <c r="B565" s="280"/>
      <c r="C565" s="250"/>
      <c r="D565" s="117"/>
      <c r="E565" s="281"/>
      <c r="F565" s="281"/>
      <c r="G565" s="282"/>
    </row>
    <row r="566" spans="2:10" ht="15" customHeight="1" x14ac:dyDescent="0.25">
      <c r="B566" s="283"/>
      <c r="C566" s="80">
        <v>740100</v>
      </c>
      <c r="D566" s="106" t="s">
        <v>4</v>
      </c>
      <c r="E566" s="100"/>
      <c r="F566" s="101"/>
      <c r="G566" s="39">
        <f>SUMIF($C$7:$C$551,"=740100",$E$7:$E$551)</f>
        <v>0</v>
      </c>
      <c r="I566" s="146">
        <f t="shared" ref="I566:I597" si="32">G566*$I$636/$G$636</f>
        <v>0</v>
      </c>
      <c r="J566" s="249" t="str">
        <f>D566</f>
        <v>Subvention municipale</v>
      </c>
    </row>
    <row r="567" spans="2:10" ht="15" customHeight="1" x14ac:dyDescent="0.25">
      <c r="B567" s="283"/>
      <c r="C567" s="84">
        <v>740200</v>
      </c>
      <c r="D567" s="93" t="s">
        <v>5</v>
      </c>
      <c r="E567" s="82"/>
      <c r="F567" s="94"/>
      <c r="G567" s="104">
        <f>SUMIF($C$7:$C$551,"=740200",$E$7:$E$551)</f>
        <v>0</v>
      </c>
      <c r="I567" s="146">
        <f t="shared" si="32"/>
        <v>0</v>
      </c>
      <c r="J567" s="249" t="str">
        <f t="shared" ref="J567:J634" si="33">D567</f>
        <v>Subvention départementale</v>
      </c>
    </row>
    <row r="568" spans="2:10" ht="15" customHeight="1" x14ac:dyDescent="0.25">
      <c r="B568" s="283"/>
      <c r="C568" s="84">
        <v>740300</v>
      </c>
      <c r="D568" s="93" t="s">
        <v>6</v>
      </c>
      <c r="E568" s="82"/>
      <c r="F568" s="94"/>
      <c r="G568" s="104">
        <f>SUMIF($C$7:$C$551,"=740300",$E$7:$E$551)</f>
        <v>0</v>
      </c>
      <c r="I568" s="146">
        <f t="shared" si="32"/>
        <v>0</v>
      </c>
      <c r="J568" s="249" t="str">
        <f t="shared" si="33"/>
        <v>Subvention régionale</v>
      </c>
    </row>
    <row r="569" spans="2:10" ht="15" customHeight="1" x14ac:dyDescent="0.25">
      <c r="B569" s="283"/>
      <c r="C569" s="84">
        <v>740400</v>
      </c>
      <c r="D569" s="93" t="s">
        <v>7</v>
      </c>
      <c r="E569" s="82"/>
      <c r="F569" s="94"/>
      <c r="G569" s="104">
        <f>SUMIF($C$7:$C$551,"=740400",$E$7:$E$551)</f>
        <v>0</v>
      </c>
      <c r="I569" s="146">
        <f t="shared" si="32"/>
        <v>0</v>
      </c>
      <c r="J569" s="249" t="str">
        <f t="shared" si="33"/>
        <v>Subvention d'Etat</v>
      </c>
    </row>
    <row r="570" spans="2:10" ht="15" customHeight="1" x14ac:dyDescent="0.25">
      <c r="B570" s="283"/>
      <c r="C570" s="84">
        <v>740500</v>
      </c>
      <c r="D570" s="93" t="s">
        <v>8</v>
      </c>
      <c r="E570" s="82"/>
      <c r="F570" s="94"/>
      <c r="G570" s="104">
        <f>SUMIF($C$7:$C$550,"=740500",$E$7:$E$551)</f>
        <v>0</v>
      </c>
      <c r="I570" s="146">
        <f t="shared" si="32"/>
        <v>0</v>
      </c>
      <c r="J570" s="249" t="str">
        <f t="shared" si="33"/>
        <v>Subvention des fédérations</v>
      </c>
    </row>
    <row r="571" spans="2:10" ht="15" customHeight="1" x14ac:dyDescent="0.25">
      <c r="B571" s="283"/>
      <c r="C571" s="84">
        <v>740600</v>
      </c>
      <c r="D571" s="93" t="s">
        <v>9</v>
      </c>
      <c r="E571" s="82"/>
      <c r="F571" s="94"/>
      <c r="G571" s="104">
        <f>SUMIF($C$7:$C$551,"=740600",$E$7:$E$551)</f>
        <v>0</v>
      </c>
      <c r="I571" s="146">
        <f t="shared" si="32"/>
        <v>0</v>
      </c>
      <c r="J571" s="249" t="str">
        <f t="shared" si="33"/>
        <v>Autres subventions</v>
      </c>
    </row>
    <row r="572" spans="2:10" ht="15" customHeight="1" x14ac:dyDescent="0.25">
      <c r="B572" s="283"/>
      <c r="C572" s="84">
        <v>740900</v>
      </c>
      <c r="D572" s="93" t="s">
        <v>187</v>
      </c>
      <c r="E572" s="82"/>
      <c r="F572" s="94"/>
      <c r="G572" s="104">
        <f>SUMIF($C$7:$C$551,"=740900",$E$7:$E$551)</f>
        <v>5000</v>
      </c>
      <c r="I572" s="146">
        <f t="shared" si="32"/>
        <v>0.1072531670251425</v>
      </c>
      <c r="J572" s="249" t="str">
        <f t="shared" si="33"/>
        <v>Dotation du Comité Directeur</v>
      </c>
    </row>
    <row r="573" spans="2:10" ht="15" customHeight="1" x14ac:dyDescent="0.25">
      <c r="B573" s="283"/>
      <c r="C573" s="84">
        <v>740910</v>
      </c>
      <c r="D573" s="93" t="s">
        <v>188</v>
      </c>
      <c r="E573" s="82"/>
      <c r="F573" s="94"/>
      <c r="G573" s="104">
        <f>SUMIF($C$7:$C$551,"=740910",$E$7:$E$551)</f>
        <v>0</v>
      </c>
      <c r="I573" s="146">
        <f t="shared" si="32"/>
        <v>0</v>
      </c>
      <c r="J573" s="249" t="str">
        <f t="shared" si="33"/>
        <v>Dotation du Comité Directeur de l'année précédente</v>
      </c>
    </row>
    <row r="574" spans="2:10" ht="15" customHeight="1" x14ac:dyDescent="0.25">
      <c r="B574" s="283"/>
      <c r="C574" s="84">
        <v>740920</v>
      </c>
      <c r="D574" s="93" t="s">
        <v>189</v>
      </c>
      <c r="E574" s="82"/>
      <c r="F574" s="94"/>
      <c r="G574" s="104">
        <f>SUMIF($C$7:$C$551,"=740920",$E$7:$E$551)</f>
        <v>0</v>
      </c>
      <c r="I574" s="146">
        <f t="shared" si="32"/>
        <v>0</v>
      </c>
      <c r="J574" s="249" t="str">
        <f t="shared" si="33"/>
        <v>Avance sur dotation du Comité Directeur de l'année suivante</v>
      </c>
    </row>
    <row r="575" spans="2:10" ht="12.9" customHeight="1" x14ac:dyDescent="0.25">
      <c r="B575" s="283"/>
      <c r="C575" s="84"/>
      <c r="D575" s="93"/>
      <c r="E575" s="82"/>
      <c r="F575" s="94"/>
      <c r="G575" s="105"/>
      <c r="I575" s="146">
        <f t="shared" si="32"/>
        <v>0</v>
      </c>
      <c r="J575" s="249">
        <f t="shared" si="33"/>
        <v>0</v>
      </c>
    </row>
    <row r="576" spans="2:10" ht="15" customHeight="1" x14ac:dyDescent="0.25">
      <c r="B576" s="283"/>
      <c r="C576" s="84">
        <v>756100</v>
      </c>
      <c r="D576" s="93" t="s">
        <v>15</v>
      </c>
      <c r="E576" s="82"/>
      <c r="F576" s="94"/>
      <c r="G576" s="104">
        <f>SUMIF($C$7:$C$551,"=756100",$E$7:$E$551)</f>
        <v>0</v>
      </c>
      <c r="I576" s="146">
        <f t="shared" si="32"/>
        <v>0</v>
      </c>
      <c r="J576" s="249" t="str">
        <f t="shared" si="33"/>
        <v>Cotisations des membres actifs</v>
      </c>
    </row>
    <row r="577" spans="2:10" ht="15" customHeight="1" x14ac:dyDescent="0.25">
      <c r="B577" s="283"/>
      <c r="C577" s="84">
        <v>756300</v>
      </c>
      <c r="D577" s="93" t="s">
        <v>16</v>
      </c>
      <c r="E577" s="82"/>
      <c r="F577" s="94"/>
      <c r="G577" s="104">
        <f>SUMIF($C$7:$C$551,"=756300",$E$7:$E$551)</f>
        <v>0</v>
      </c>
      <c r="I577" s="146">
        <f t="shared" si="32"/>
        <v>0</v>
      </c>
      <c r="J577" s="249" t="str">
        <f t="shared" si="33"/>
        <v>Cotisations des membres honoraires</v>
      </c>
    </row>
    <row r="578" spans="2:10" ht="15" customHeight="1" x14ac:dyDescent="0.25">
      <c r="B578" s="283"/>
      <c r="C578" s="84">
        <v>756400</v>
      </c>
      <c r="D578" s="93" t="s">
        <v>17</v>
      </c>
      <c r="E578" s="82"/>
      <c r="F578" s="94"/>
      <c r="G578" s="104">
        <f>SUMIF($C$7:$C$551,"=756400",$E$7:$E$551)</f>
        <v>0</v>
      </c>
      <c r="I578" s="146">
        <f t="shared" si="32"/>
        <v>0</v>
      </c>
      <c r="J578" s="249" t="str">
        <f t="shared" si="33"/>
        <v>Cotisations des membres bienfaiteurs</v>
      </c>
    </row>
    <row r="579" spans="2:10" ht="15" customHeight="1" x14ac:dyDescent="0.25">
      <c r="B579" s="283"/>
      <c r="C579" s="84">
        <v>756800</v>
      </c>
      <c r="D579" s="93" t="s">
        <v>18</v>
      </c>
      <c r="E579" s="82"/>
      <c r="F579" s="94"/>
      <c r="G579" s="104">
        <f>SUMIF($C$7:$C$551,"=756800",$E$7:$E$551)</f>
        <v>39453.75</v>
      </c>
      <c r="I579" s="146">
        <f t="shared" si="32"/>
        <v>0.84630792770364305</v>
      </c>
      <c r="J579" s="249" t="str">
        <f t="shared" si="33"/>
        <v>Droits d'entrée des membres</v>
      </c>
    </row>
    <row r="580" spans="2:10" ht="15" customHeight="1" x14ac:dyDescent="0.25">
      <c r="B580" s="283"/>
      <c r="C580" s="84">
        <v>756900</v>
      </c>
      <c r="D580" s="93" t="s">
        <v>155</v>
      </c>
      <c r="E580" s="82"/>
      <c r="F580" s="94"/>
      <c r="G580" s="104">
        <f>SUMIF($C$7:$C$551,"=756900",$E$7:$E$551)</f>
        <v>0</v>
      </c>
      <c r="I580" s="146">
        <f t="shared" si="32"/>
        <v>0</v>
      </c>
      <c r="J580" s="249" t="str">
        <f t="shared" si="33"/>
        <v>Compensation de mutation</v>
      </c>
    </row>
    <row r="581" spans="2:10" ht="12.9" customHeight="1" x14ac:dyDescent="0.25">
      <c r="B581" s="283"/>
      <c r="C581" s="84"/>
      <c r="D581" s="93"/>
      <c r="E581" s="82"/>
      <c r="F581" s="94"/>
      <c r="G581" s="105"/>
      <c r="I581" s="146">
        <f t="shared" si="32"/>
        <v>0</v>
      </c>
      <c r="J581" s="249">
        <f t="shared" si="33"/>
        <v>0</v>
      </c>
    </row>
    <row r="582" spans="2:10" ht="15" customHeight="1" x14ac:dyDescent="0.25">
      <c r="B582" s="283"/>
      <c r="C582" s="84">
        <v>758100</v>
      </c>
      <c r="D582" s="93" t="s">
        <v>19</v>
      </c>
      <c r="E582" s="82"/>
      <c r="F582" s="94"/>
      <c r="G582" s="104">
        <f>SUMIF($C$7:$C$551,"=758100",$E$7:$E$551)</f>
        <v>0</v>
      </c>
      <c r="I582" s="146">
        <f t="shared" si="32"/>
        <v>0</v>
      </c>
      <c r="J582" s="249" t="str">
        <f t="shared" si="33"/>
        <v>Dons et collectes auprès des particuliers</v>
      </c>
    </row>
    <row r="583" spans="2:10" ht="15" customHeight="1" x14ac:dyDescent="0.25">
      <c r="B583" s="283"/>
      <c r="C583" s="84">
        <v>758200</v>
      </c>
      <c r="D583" s="93" t="s">
        <v>20</v>
      </c>
      <c r="E583" s="82"/>
      <c r="F583" s="94"/>
      <c r="G583" s="104">
        <f>SUMIF($C$7:$C$551,"=758200",$E$7:$E$551)</f>
        <v>55</v>
      </c>
      <c r="I583" s="146">
        <f t="shared" si="32"/>
        <v>1.1797848372765674E-3</v>
      </c>
      <c r="J583" s="249" t="str">
        <f t="shared" si="33"/>
        <v>Dons et collectes auprès des entreprises</v>
      </c>
    </row>
    <row r="584" spans="2:10" ht="15" customHeight="1" x14ac:dyDescent="0.25">
      <c r="B584" s="283"/>
      <c r="C584" s="84">
        <v>758300</v>
      </c>
      <c r="D584" s="93" t="s">
        <v>21</v>
      </c>
      <c r="E584" s="82"/>
      <c r="F584" s="94"/>
      <c r="G584" s="104">
        <f>SUMIF($C$7:$C$551,"=758300",$E$7:$E$551)</f>
        <v>0</v>
      </c>
      <c r="I584" s="146">
        <f t="shared" si="32"/>
        <v>0</v>
      </c>
      <c r="J584" s="249" t="str">
        <f t="shared" si="33"/>
        <v>Dons des bénévoles de l'association</v>
      </c>
    </row>
    <row r="585" spans="2:10" ht="12.9" customHeight="1" x14ac:dyDescent="0.25">
      <c r="B585" s="283"/>
      <c r="C585" s="84"/>
      <c r="D585" s="93"/>
      <c r="E585" s="82"/>
      <c r="F585" s="94"/>
      <c r="G585" s="105"/>
      <c r="I585" s="146">
        <f t="shared" si="32"/>
        <v>0</v>
      </c>
      <c r="J585" s="249">
        <f t="shared" si="33"/>
        <v>0</v>
      </c>
    </row>
    <row r="586" spans="2:10" ht="15" customHeight="1" x14ac:dyDescent="0.25">
      <c r="B586" s="283"/>
      <c r="C586" s="84">
        <v>706115</v>
      </c>
      <c r="D586" s="93" t="s">
        <v>22</v>
      </c>
      <c r="E586" s="82"/>
      <c r="F586" s="94"/>
      <c r="G586" s="104">
        <f>SUMIF($C$7:$C$551,"=706115",$E$7:$E$551)</f>
        <v>0</v>
      </c>
      <c r="I586" s="146">
        <f t="shared" si="32"/>
        <v>0</v>
      </c>
      <c r="J586" s="249" t="str">
        <f t="shared" si="33"/>
        <v>Stages</v>
      </c>
    </row>
    <row r="587" spans="2:10" ht="12.9" customHeight="1" x14ac:dyDescent="0.25">
      <c r="B587" s="283"/>
      <c r="C587" s="84"/>
      <c r="D587" s="93"/>
      <c r="E587" s="82"/>
      <c r="F587" s="94"/>
      <c r="G587" s="105"/>
      <c r="I587" s="146">
        <f t="shared" si="32"/>
        <v>0</v>
      </c>
      <c r="J587" s="249">
        <f t="shared" si="33"/>
        <v>0</v>
      </c>
    </row>
    <row r="588" spans="2:10" ht="15" customHeight="1" x14ac:dyDescent="0.25">
      <c r="B588" s="283"/>
      <c r="C588" s="84">
        <v>706251</v>
      </c>
      <c r="D588" s="93" t="s">
        <v>23</v>
      </c>
      <c r="E588" s="82"/>
      <c r="F588" s="94"/>
      <c r="G588" s="104">
        <f>SUMIF($C$7:$C$551,"=706251",$E$7:$E$551)</f>
        <v>0</v>
      </c>
      <c r="I588" s="146">
        <f t="shared" si="32"/>
        <v>0</v>
      </c>
      <c r="J588" s="249" t="str">
        <f t="shared" si="33"/>
        <v>Exploitation buvette</v>
      </c>
    </row>
    <row r="589" spans="2:10" ht="15" customHeight="1" x14ac:dyDescent="0.25">
      <c r="B589" s="283"/>
      <c r="C589" s="84">
        <v>706252</v>
      </c>
      <c r="D589" s="93" t="s">
        <v>24</v>
      </c>
      <c r="E589" s="82"/>
      <c r="F589" s="94"/>
      <c r="G589" s="104">
        <f>SUMIF($C$7:$C$551,"=706252",$E$7:$E$551)</f>
        <v>0</v>
      </c>
      <c r="I589" s="146">
        <f t="shared" si="32"/>
        <v>0</v>
      </c>
      <c r="J589" s="249" t="str">
        <f t="shared" si="33"/>
        <v>Exploitation restaurant</v>
      </c>
    </row>
    <row r="590" spans="2:10" ht="15" customHeight="1" x14ac:dyDescent="0.25">
      <c r="B590" s="283"/>
      <c r="C590" s="84">
        <v>706254</v>
      </c>
      <c r="D590" s="93" t="s">
        <v>25</v>
      </c>
      <c r="E590" s="82"/>
      <c r="F590" s="94"/>
      <c r="G590" s="104">
        <f>SUMIF($C$7:$C$551,"=706254",$E$7:$E$551)</f>
        <v>0</v>
      </c>
      <c r="I590" s="146">
        <f t="shared" si="32"/>
        <v>0</v>
      </c>
      <c r="J590" s="249" t="str">
        <f t="shared" si="33"/>
        <v>Prestations publicitaires</v>
      </c>
    </row>
    <row r="591" spans="2:10" ht="12.9" customHeight="1" x14ac:dyDescent="0.25">
      <c r="B591" s="283"/>
      <c r="C591" s="84"/>
      <c r="D591" s="93"/>
      <c r="E591" s="82"/>
      <c r="F591" s="94"/>
      <c r="G591" s="105"/>
      <c r="I591" s="146">
        <f t="shared" si="32"/>
        <v>0</v>
      </c>
      <c r="J591" s="249">
        <f t="shared" si="33"/>
        <v>0</v>
      </c>
    </row>
    <row r="592" spans="2:10" ht="15" customHeight="1" x14ac:dyDescent="0.25">
      <c r="B592" s="283"/>
      <c r="C592" s="84">
        <v>707110</v>
      </c>
      <c r="D592" s="93" t="s">
        <v>26</v>
      </c>
      <c r="E592" s="82"/>
      <c r="F592" s="94"/>
      <c r="G592" s="104">
        <f>SUMIF($C$7:$C$551,"=707110",$E$7:$E$551)</f>
        <v>0</v>
      </c>
      <c r="I592" s="146">
        <f t="shared" si="32"/>
        <v>0</v>
      </c>
      <c r="J592" s="249" t="str">
        <f t="shared" si="33"/>
        <v>Ventes aux adhérents de matériel sportif</v>
      </c>
    </row>
    <row r="593" spans="2:10" ht="15" customHeight="1" x14ac:dyDescent="0.25">
      <c r="B593" s="283"/>
      <c r="C593" s="84">
        <v>707120</v>
      </c>
      <c r="D593" s="93" t="s">
        <v>27</v>
      </c>
      <c r="E593" s="82"/>
      <c r="F593" s="94"/>
      <c r="G593" s="104">
        <f>SUMIF($C$7:$C$551,"=707120",$E$7:$E$551)</f>
        <v>0</v>
      </c>
      <c r="I593" s="146">
        <f t="shared" si="32"/>
        <v>0</v>
      </c>
      <c r="J593" s="249" t="str">
        <f t="shared" si="33"/>
        <v>Ventes aux adhérents d'équipements sportifs</v>
      </c>
    </row>
    <row r="594" spans="2:10" ht="15" customHeight="1" x14ac:dyDescent="0.25">
      <c r="B594" s="283"/>
      <c r="C594" s="84">
        <v>707150</v>
      </c>
      <c r="D594" s="93" t="s">
        <v>28</v>
      </c>
      <c r="E594" s="82"/>
      <c r="F594" s="94"/>
      <c r="G594" s="104">
        <f>SUMIF($C$7:$C$551,"=707150",$E$7:$E$551)</f>
        <v>0</v>
      </c>
      <c r="I594" s="146">
        <f t="shared" si="32"/>
        <v>0</v>
      </c>
      <c r="J594" s="249" t="str">
        <f t="shared" si="33"/>
        <v>Ventes aux adhérents d'insignes, fanions, écussons…..</v>
      </c>
    </row>
    <row r="595" spans="2:10" ht="15" customHeight="1" x14ac:dyDescent="0.25">
      <c r="B595" s="283"/>
      <c r="C595" s="84">
        <v>707160</v>
      </c>
      <c r="D595" s="93" t="s">
        <v>29</v>
      </c>
      <c r="E595" s="82"/>
      <c r="F595" s="94"/>
      <c r="G595" s="104">
        <f>SUMIF($C$7:$C$551,"=707160",$E$7:$E$551)</f>
        <v>0</v>
      </c>
      <c r="I595" s="146">
        <f t="shared" si="32"/>
        <v>0</v>
      </c>
      <c r="J595" s="249" t="str">
        <f t="shared" si="33"/>
        <v>Ventes aux adhérents de livres, brochures…..</v>
      </c>
    </row>
    <row r="596" spans="2:10" ht="12.9" customHeight="1" x14ac:dyDescent="0.25">
      <c r="B596" s="283"/>
      <c r="C596" s="84"/>
      <c r="D596" s="93"/>
      <c r="E596" s="82"/>
      <c r="F596" s="94"/>
      <c r="G596" s="105"/>
      <c r="I596" s="146">
        <f t="shared" si="32"/>
        <v>0</v>
      </c>
      <c r="J596" s="249">
        <f t="shared" si="33"/>
        <v>0</v>
      </c>
    </row>
    <row r="597" spans="2:10" ht="15" customHeight="1" x14ac:dyDescent="0.25">
      <c r="B597" s="283"/>
      <c r="C597" s="84">
        <v>707210</v>
      </c>
      <c r="D597" s="93" t="s">
        <v>30</v>
      </c>
      <c r="E597" s="82"/>
      <c r="F597" s="94"/>
      <c r="G597" s="104">
        <f>SUMIF($C$7:$C$551,"=707210",$E$7:$E$551)</f>
        <v>0</v>
      </c>
      <c r="I597" s="146">
        <f t="shared" si="32"/>
        <v>0</v>
      </c>
      <c r="J597" s="249" t="str">
        <f t="shared" si="33"/>
        <v>Ventes à des tiers de matériel sportif</v>
      </c>
    </row>
    <row r="598" spans="2:10" ht="15" customHeight="1" x14ac:dyDescent="0.25">
      <c r="B598" s="283"/>
      <c r="C598" s="84">
        <v>707220</v>
      </c>
      <c r="D598" s="93" t="s">
        <v>31</v>
      </c>
      <c r="E598" s="82"/>
      <c r="F598" s="94"/>
      <c r="G598" s="104">
        <f>SUMIF($C$7:$C$551,"=707220",$E$7:$E$551)</f>
        <v>0</v>
      </c>
      <c r="I598" s="146">
        <f t="shared" ref="I598:I616" si="34">G598*$I$636/$G$636</f>
        <v>0</v>
      </c>
      <c r="J598" s="249" t="str">
        <f t="shared" si="33"/>
        <v>Ventes à des tiers d'équipements sportifs</v>
      </c>
    </row>
    <row r="599" spans="2:10" ht="15" customHeight="1" x14ac:dyDescent="0.25">
      <c r="B599" s="283"/>
      <c r="C599" s="84">
        <v>707250</v>
      </c>
      <c r="D599" s="93" t="s">
        <v>32</v>
      </c>
      <c r="E599" s="82"/>
      <c r="F599" s="94"/>
      <c r="G599" s="104">
        <f>SUMIF($C$7:$C$551,"=707250",$E$7:$E$551)</f>
        <v>0</v>
      </c>
      <c r="I599" s="146">
        <f t="shared" si="34"/>
        <v>0</v>
      </c>
      <c r="J599" s="249" t="str">
        <f t="shared" si="33"/>
        <v>Ventes à des tiers d'insignes, fanions, écussons…..</v>
      </c>
    </row>
    <row r="600" spans="2:10" ht="15" customHeight="1" x14ac:dyDescent="0.25">
      <c r="B600" s="283"/>
      <c r="C600" s="84">
        <v>707260</v>
      </c>
      <c r="D600" s="93" t="s">
        <v>33</v>
      </c>
      <c r="E600" s="82"/>
      <c r="F600" s="94"/>
      <c r="G600" s="104">
        <f>SUMIF($C$7:$C$551,"=707260",$E$7:$E$551)</f>
        <v>0</v>
      </c>
      <c r="I600" s="146">
        <f t="shared" si="34"/>
        <v>0</v>
      </c>
      <c r="J600" s="249" t="str">
        <f t="shared" si="33"/>
        <v>Ventes à des tiers de livres, brochures…..</v>
      </c>
    </row>
    <row r="601" spans="2:10" ht="12.9" customHeight="1" x14ac:dyDescent="0.25">
      <c r="B601" s="283"/>
      <c r="C601" s="84"/>
      <c r="D601" s="93"/>
      <c r="E601" s="82"/>
      <c r="F601" s="94"/>
      <c r="G601" s="105"/>
      <c r="I601" s="146">
        <f t="shared" si="34"/>
        <v>0</v>
      </c>
      <c r="J601" s="249">
        <f t="shared" si="33"/>
        <v>0</v>
      </c>
    </row>
    <row r="602" spans="2:10" ht="15" customHeight="1" x14ac:dyDescent="0.25">
      <c r="B602" s="283"/>
      <c r="C602" s="84">
        <v>708100</v>
      </c>
      <c r="D602" s="93" t="s">
        <v>34</v>
      </c>
      <c r="E602" s="82"/>
      <c r="F602" s="94"/>
      <c r="G602" s="104">
        <f>SUMIF($C$7:$C$551,"=708100",$E$7:$E$551)</f>
        <v>0</v>
      </c>
      <c r="I602" s="146">
        <f t="shared" si="34"/>
        <v>0</v>
      </c>
      <c r="J602" s="249" t="str">
        <f t="shared" si="33"/>
        <v>Billets d'entrée aux manifestations</v>
      </c>
    </row>
    <row r="603" spans="2:10" ht="15" customHeight="1" x14ac:dyDescent="0.25">
      <c r="B603" s="283"/>
      <c r="C603" s="84">
        <v>708200</v>
      </c>
      <c r="D603" s="93" t="s">
        <v>35</v>
      </c>
      <c r="E603" s="82"/>
      <c r="F603" s="94"/>
      <c r="G603" s="104">
        <f>SUMIF($C$7:$C$551,"=708200",$E$7:$E$551)</f>
        <v>0</v>
      </c>
      <c r="I603" s="146">
        <f t="shared" si="34"/>
        <v>0</v>
      </c>
      <c r="J603" s="249" t="str">
        <f t="shared" si="33"/>
        <v>Droits d'engagements perçus</v>
      </c>
    </row>
    <row r="604" spans="2:10" ht="12.9" customHeight="1" x14ac:dyDescent="0.25">
      <c r="B604" s="283"/>
      <c r="C604" s="84"/>
      <c r="D604" s="93"/>
      <c r="E604" s="82"/>
      <c r="F604" s="94"/>
      <c r="G604" s="105"/>
      <c r="I604" s="146">
        <f t="shared" si="34"/>
        <v>0</v>
      </c>
      <c r="J604" s="249">
        <f t="shared" si="33"/>
        <v>0</v>
      </c>
    </row>
    <row r="605" spans="2:10" ht="15" customHeight="1" x14ac:dyDescent="0.25">
      <c r="B605" s="283"/>
      <c r="C605" s="84">
        <v>708810</v>
      </c>
      <c r="D605" s="93" t="s">
        <v>36</v>
      </c>
      <c r="E605" s="82"/>
      <c r="F605" s="94"/>
      <c r="G605" s="104">
        <f>SUMIF($C$7:$C$551,"=708810",$E$7:$E$551)</f>
        <v>0</v>
      </c>
      <c r="I605" s="146">
        <f t="shared" si="34"/>
        <v>0</v>
      </c>
      <c r="J605" s="249" t="str">
        <f t="shared" si="33"/>
        <v>Remboursements fédération</v>
      </c>
    </row>
    <row r="606" spans="2:10" ht="15" customHeight="1" x14ac:dyDescent="0.25">
      <c r="B606" s="283"/>
      <c r="C606" s="84">
        <v>708820</v>
      </c>
      <c r="D606" s="93" t="s">
        <v>37</v>
      </c>
      <c r="E606" s="82"/>
      <c r="F606" s="94"/>
      <c r="G606" s="104">
        <f>SUMIF($C$7:$C$551,"=708820",$E$7:$E$551)</f>
        <v>0</v>
      </c>
      <c r="I606" s="146">
        <f t="shared" si="34"/>
        <v>0</v>
      </c>
      <c r="J606" s="249" t="str">
        <f t="shared" si="33"/>
        <v>Remboursements instance régionale</v>
      </c>
    </row>
    <row r="607" spans="2:10" ht="15" customHeight="1" x14ac:dyDescent="0.25">
      <c r="B607" s="283"/>
      <c r="C607" s="84">
        <v>708830</v>
      </c>
      <c r="D607" s="93" t="s">
        <v>38</v>
      </c>
      <c r="E607" s="82"/>
      <c r="F607" s="94"/>
      <c r="G607" s="104">
        <f>SUMIF($C$7:$C$551,"=708830",$E$7:$E$551)</f>
        <v>0</v>
      </c>
      <c r="I607" s="146">
        <f t="shared" si="34"/>
        <v>0</v>
      </c>
      <c r="J607" s="249" t="str">
        <f t="shared" si="33"/>
        <v>Remboursements instance départementale</v>
      </c>
    </row>
    <row r="608" spans="2:10" ht="15" customHeight="1" x14ac:dyDescent="0.25">
      <c r="B608" s="283"/>
      <c r="C608" s="84">
        <v>708840</v>
      </c>
      <c r="D608" s="93" t="s">
        <v>39</v>
      </c>
      <c r="E608" s="82"/>
      <c r="F608" s="94"/>
      <c r="G608" s="104">
        <f>SUMIF($C$7:$C$551,"=708840",$E$7:$E$551)</f>
        <v>0</v>
      </c>
      <c r="I608" s="146">
        <f t="shared" si="34"/>
        <v>0</v>
      </c>
      <c r="J608" s="249" t="str">
        <f t="shared" si="33"/>
        <v>Remboursements autres clubs</v>
      </c>
    </row>
    <row r="609" spans="2:10" ht="15" customHeight="1" x14ac:dyDescent="0.25">
      <c r="B609" s="283"/>
      <c r="C609" s="84">
        <v>708850</v>
      </c>
      <c r="D609" s="93" t="s">
        <v>40</v>
      </c>
      <c r="E609" s="82"/>
      <c r="F609" s="94"/>
      <c r="G609" s="104">
        <f>SUMIF($C$7:$C$551,"=708850",$E$7:$E$551)</f>
        <v>0</v>
      </c>
      <c r="I609" s="146">
        <f t="shared" si="34"/>
        <v>0</v>
      </c>
      <c r="J609" s="249" t="str">
        <f t="shared" si="33"/>
        <v>Remboursements divers</v>
      </c>
    </row>
    <row r="610" spans="2:10" ht="12.9" customHeight="1" x14ac:dyDescent="0.25">
      <c r="B610" s="283"/>
      <c r="C610" s="84"/>
      <c r="D610" s="93"/>
      <c r="E610" s="82"/>
      <c r="F610" s="94"/>
      <c r="G610" s="105"/>
      <c r="I610" s="146">
        <f t="shared" si="34"/>
        <v>0</v>
      </c>
      <c r="J610" s="249">
        <f t="shared" si="33"/>
        <v>0</v>
      </c>
    </row>
    <row r="611" spans="2:10" ht="15" customHeight="1" thickBot="1" x14ac:dyDescent="0.3">
      <c r="B611" s="283"/>
      <c r="C611" s="95"/>
      <c r="D611" s="96"/>
      <c r="E611" s="82"/>
      <c r="F611" s="94"/>
      <c r="G611" s="104"/>
      <c r="I611" s="146">
        <f t="shared" si="34"/>
        <v>0</v>
      </c>
      <c r="J611" s="249">
        <f t="shared" si="33"/>
        <v>0</v>
      </c>
    </row>
    <row r="612" spans="2:10" ht="15" customHeight="1" thickBot="1" x14ac:dyDescent="0.3">
      <c r="B612" s="283"/>
      <c r="C612" s="250"/>
      <c r="D612" s="284"/>
      <c r="E612" s="366" t="s">
        <v>80</v>
      </c>
      <c r="F612" s="367"/>
      <c r="G612" s="77">
        <f>SUM(G566:G611)</f>
        <v>44508.75</v>
      </c>
      <c r="I612" s="146"/>
      <c r="J612" s="249">
        <f t="shared" si="33"/>
        <v>0</v>
      </c>
    </row>
    <row r="613" spans="2:10" s="117" customFormat="1" ht="15" customHeight="1" x14ac:dyDescent="0.25">
      <c r="B613" s="283"/>
      <c r="C613" s="250"/>
      <c r="D613" s="284"/>
      <c r="E613" s="126"/>
      <c r="F613" s="126"/>
      <c r="G613" s="127"/>
      <c r="I613" s="146"/>
      <c r="J613" s="249">
        <f t="shared" si="33"/>
        <v>0</v>
      </c>
    </row>
    <row r="614" spans="2:10" ht="15" customHeight="1" thickBot="1" x14ac:dyDescent="0.3">
      <c r="B614" s="283"/>
      <c r="C614" s="250"/>
      <c r="D614" s="117"/>
      <c r="E614" s="281"/>
      <c r="F614" s="281"/>
      <c r="G614" s="285"/>
      <c r="I614" s="146"/>
      <c r="J614" s="249">
        <f t="shared" si="33"/>
        <v>0</v>
      </c>
    </row>
    <row r="615" spans="2:10" ht="15" customHeight="1" thickBot="1" x14ac:dyDescent="0.3">
      <c r="B615" s="283"/>
      <c r="C615" s="250"/>
      <c r="D615" s="284"/>
      <c r="E615" s="366" t="s">
        <v>81</v>
      </c>
      <c r="F615" s="367"/>
      <c r="G615" s="77">
        <f>G612</f>
        <v>44508.75</v>
      </c>
      <c r="I615" s="146"/>
      <c r="J615" s="249">
        <f t="shared" si="33"/>
        <v>0</v>
      </c>
    </row>
    <row r="616" spans="2:10" ht="15" customHeight="1" x14ac:dyDescent="0.25">
      <c r="B616" s="283"/>
      <c r="C616" s="80">
        <v>708860</v>
      </c>
      <c r="D616" s="106" t="s">
        <v>190</v>
      </c>
      <c r="E616" s="82"/>
      <c r="F616" s="94"/>
      <c r="G616" s="104">
        <f>SUMIF($C$7:$C$551,"=708860",$E$7:$E$551)</f>
        <v>0</v>
      </c>
      <c r="I616" s="146">
        <f t="shared" si="34"/>
        <v>0</v>
      </c>
      <c r="J616" s="249" t="str">
        <f t="shared" si="33"/>
        <v>Remboursement charges sociales par les sections</v>
      </c>
    </row>
    <row r="617" spans="2:10" ht="15" customHeight="1" x14ac:dyDescent="0.25">
      <c r="B617" s="283"/>
      <c r="C617" s="84">
        <v>708870</v>
      </c>
      <c r="D617" s="93" t="s">
        <v>191</v>
      </c>
      <c r="E617" s="82"/>
      <c r="F617" s="94"/>
      <c r="G617" s="104">
        <f>SUMIF($C$7:$C$551,"=708870",$E$7:$E$551)</f>
        <v>0</v>
      </c>
      <c r="I617" s="146">
        <f t="shared" ref="I617:I624" si="35">G617*$I$636/$G$636</f>
        <v>0</v>
      </c>
      <c r="J617" s="249" t="str">
        <f t="shared" si="33"/>
        <v>Remboursement prélèvement à la source par les sections</v>
      </c>
    </row>
    <row r="618" spans="2:10" ht="15" customHeight="1" x14ac:dyDescent="0.25">
      <c r="B618" s="283"/>
      <c r="C618" s="84">
        <v>708880</v>
      </c>
      <c r="D618" s="93" t="s">
        <v>192</v>
      </c>
      <c r="E618" s="82"/>
      <c r="F618" s="94"/>
      <c r="G618" s="104">
        <f>SUMIF($C$7:$C$551,"=708880",$E$7:$E$551)</f>
        <v>0</v>
      </c>
      <c r="I618" s="146">
        <f t="shared" si="35"/>
        <v>0</v>
      </c>
      <c r="J618" s="249" t="str">
        <f t="shared" si="33"/>
        <v>Remboursement frais de paie par les sections</v>
      </c>
    </row>
    <row r="619" spans="2:10" ht="15" customHeight="1" x14ac:dyDescent="0.25">
      <c r="B619" s="283"/>
      <c r="C619" s="84"/>
      <c r="D619" s="93"/>
      <c r="E619" s="82"/>
      <c r="F619" s="94"/>
      <c r="G619" s="104"/>
      <c r="I619" s="146">
        <f t="shared" si="35"/>
        <v>0</v>
      </c>
      <c r="J619" s="249">
        <f t="shared" si="33"/>
        <v>0</v>
      </c>
    </row>
    <row r="620" spans="2:10" ht="15" customHeight="1" x14ac:dyDescent="0.25">
      <c r="B620" s="283"/>
      <c r="C620" s="84">
        <v>767000</v>
      </c>
      <c r="D620" s="93" t="s">
        <v>41</v>
      </c>
      <c r="E620" s="82"/>
      <c r="F620" s="94"/>
      <c r="G620" s="104">
        <f>SUMIF($C$7:$C$551,"=767000",$E$7:$E$551)</f>
        <v>0</v>
      </c>
      <c r="I620" s="146">
        <f t="shared" si="35"/>
        <v>0</v>
      </c>
      <c r="J620" s="249" t="str">
        <f t="shared" si="33"/>
        <v>Produits nets sur cessions de valeurs mobilières</v>
      </c>
    </row>
    <row r="621" spans="2:10" ht="15" customHeight="1" x14ac:dyDescent="0.25">
      <c r="B621" s="283"/>
      <c r="C621" s="84">
        <v>768000</v>
      </c>
      <c r="D621" s="93" t="s">
        <v>42</v>
      </c>
      <c r="E621" s="82"/>
      <c r="F621" s="94"/>
      <c r="G621" s="104">
        <f>SUMIF($C$7:$C$551,"=768000",$E$7:$E$551)</f>
        <v>552.04999999999995</v>
      </c>
      <c r="I621" s="146">
        <f t="shared" si="35"/>
        <v>1.1841822171245981E-2</v>
      </c>
      <c r="J621" s="249" t="str">
        <f t="shared" si="33"/>
        <v>Autres produits financiers</v>
      </c>
    </row>
    <row r="622" spans="2:10" ht="15" customHeight="1" x14ac:dyDescent="0.25">
      <c r="B622" s="283"/>
      <c r="C622" s="84">
        <v>768010</v>
      </c>
      <c r="D622" s="93" t="s">
        <v>193</v>
      </c>
      <c r="E622" s="82"/>
      <c r="F622" s="94"/>
      <c r="G622" s="104">
        <f>SUMIF($C$7:$C$551,"=768010",$E$7:$E$551)</f>
        <v>940.87</v>
      </c>
      <c r="I622" s="146">
        <f t="shared" si="35"/>
        <v>2.0182257451789164E-2</v>
      </c>
      <c r="J622" s="249" t="str">
        <f t="shared" si="33"/>
        <v>Autres produits financiers *ANCV</v>
      </c>
    </row>
    <row r="623" spans="2:10" ht="15" customHeight="1" x14ac:dyDescent="0.25">
      <c r="B623" s="283"/>
      <c r="C623" s="84">
        <v>768020</v>
      </c>
      <c r="D623" s="93" t="s">
        <v>194</v>
      </c>
      <c r="E623" s="82"/>
      <c r="F623" s="94"/>
      <c r="G623" s="104">
        <f>SUMIF($C$7:$C$551,"=768020",$E$7:$E$551)</f>
        <v>117</v>
      </c>
      <c r="I623" s="146">
        <f t="shared" si="35"/>
        <v>2.5097241083883344E-3</v>
      </c>
      <c r="J623" s="249" t="str">
        <f t="shared" si="33"/>
        <v>Autres produits financiers *COUPONS SPORT</v>
      </c>
    </row>
    <row r="624" spans="2:10" ht="15" customHeight="1" x14ac:dyDescent="0.25">
      <c r="B624" s="283"/>
      <c r="C624" s="84">
        <v>778800</v>
      </c>
      <c r="D624" s="93" t="s">
        <v>195</v>
      </c>
      <c r="E624" s="82"/>
      <c r="F624" s="94"/>
      <c r="G624" s="104">
        <f>SUMIF($C$7:$C$551,"=778800",$E$7:$E$551)</f>
        <v>0</v>
      </c>
      <c r="I624" s="146">
        <f t="shared" si="35"/>
        <v>0</v>
      </c>
      <c r="J624" s="249" t="str">
        <f t="shared" si="33"/>
        <v>Produits exceptionnels divers</v>
      </c>
    </row>
    <row r="625" spans="2:10" ht="15" customHeight="1" x14ac:dyDescent="0.25">
      <c r="B625" s="283"/>
      <c r="C625" s="84"/>
      <c r="D625" s="93"/>
      <c r="E625" s="82"/>
      <c r="F625" s="94"/>
      <c r="G625" s="104"/>
      <c r="I625" s="146">
        <f t="shared" ref="I625:I630" si="36">G625*$I$636/$G$636</f>
        <v>0</v>
      </c>
      <c r="J625" s="249">
        <f t="shared" si="33"/>
        <v>0</v>
      </c>
    </row>
    <row r="626" spans="2:10" ht="15" customHeight="1" x14ac:dyDescent="0.25">
      <c r="B626" s="283"/>
      <c r="C626" s="84">
        <v>164000</v>
      </c>
      <c r="D626" s="93" t="s">
        <v>161</v>
      </c>
      <c r="E626" s="82"/>
      <c r="F626" s="94"/>
      <c r="G626" s="104">
        <f>SUMIF($C$7:$C$551,"=164000",$E$7:$E$551)</f>
        <v>0</v>
      </c>
      <c r="I626" s="146">
        <f t="shared" si="36"/>
        <v>0</v>
      </c>
      <c r="J626" s="249" t="str">
        <f t="shared" si="33"/>
        <v>Emprunt débloqué</v>
      </c>
    </row>
    <row r="627" spans="2:10" ht="15" customHeight="1" x14ac:dyDescent="0.25">
      <c r="B627" s="283"/>
      <c r="C627" s="84"/>
      <c r="D627" s="93"/>
      <c r="E627" s="82"/>
      <c r="F627" s="94"/>
      <c r="G627" s="104"/>
      <c r="I627" s="146">
        <f t="shared" si="36"/>
        <v>0</v>
      </c>
      <c r="J627" s="249">
        <f t="shared" si="33"/>
        <v>0</v>
      </c>
    </row>
    <row r="628" spans="2:10" ht="15" customHeight="1" x14ac:dyDescent="0.25">
      <c r="B628" s="283"/>
      <c r="C628" s="84">
        <v>157100</v>
      </c>
      <c r="D628" s="93" t="s">
        <v>118</v>
      </c>
      <c r="E628" s="82"/>
      <c r="F628" s="94"/>
      <c r="G628" s="104">
        <f>SUMIF($C$7:$C$551,"=157100",$E$7:$E$551)</f>
        <v>0</v>
      </c>
      <c r="I628" s="146">
        <f t="shared" si="36"/>
        <v>0</v>
      </c>
      <c r="J628" s="249" t="str">
        <f t="shared" si="33"/>
        <v>Provisions pour achat de matériel</v>
      </c>
    </row>
    <row r="629" spans="2:10" ht="15" customHeight="1" x14ac:dyDescent="0.25">
      <c r="B629" s="283"/>
      <c r="C629" s="84">
        <v>157300</v>
      </c>
      <c r="D629" s="93" t="s">
        <v>119</v>
      </c>
      <c r="E629" s="82"/>
      <c r="F629" s="94"/>
      <c r="G629" s="104">
        <f>SUMIF($C$7:$C$551,"=157300",$E$7:$E$551)</f>
        <v>0</v>
      </c>
      <c r="I629" s="146">
        <f t="shared" si="36"/>
        <v>0</v>
      </c>
      <c r="J629" s="249" t="str">
        <f t="shared" si="33"/>
        <v>Provisions pour organisation de manifestation</v>
      </c>
    </row>
    <row r="630" spans="2:10" ht="15" customHeight="1" x14ac:dyDescent="0.25">
      <c r="B630" s="283"/>
      <c r="C630" s="84">
        <v>157400</v>
      </c>
      <c r="D630" s="93" t="s">
        <v>120</v>
      </c>
      <c r="E630" s="82"/>
      <c r="F630" s="94"/>
      <c r="G630" s="83">
        <f>SUMIF($C$7:$C$551,"=157400",$E$7:$E$551)</f>
        <v>0</v>
      </c>
      <c r="I630" s="146">
        <f t="shared" si="36"/>
        <v>0</v>
      </c>
      <c r="J630" s="249" t="str">
        <f t="shared" si="33"/>
        <v>Provisions pour charges de personnel</v>
      </c>
    </row>
    <row r="631" spans="2:10" ht="15" customHeight="1" x14ac:dyDescent="0.25">
      <c r="B631" s="283"/>
      <c r="C631" s="84">
        <v>157500</v>
      </c>
      <c r="D631" s="93" t="s">
        <v>196</v>
      </c>
      <c r="E631" s="82"/>
      <c r="F631" s="94"/>
      <c r="G631" s="83">
        <f>SUMIF($C$7:$C$551,"=157500",$E$7:$E$551)</f>
        <v>500</v>
      </c>
      <c r="I631" s="146">
        <f t="shared" ref="I631:I632" si="37">G631*$I$636/$G$636</f>
        <v>1.0725316702514249E-2</v>
      </c>
      <c r="J631" s="249" t="str">
        <f t="shared" si="33"/>
        <v>Provisions pour trésorerie saison N+1</v>
      </c>
    </row>
    <row r="632" spans="2:10" ht="15" customHeight="1" x14ac:dyDescent="0.25">
      <c r="B632" s="283"/>
      <c r="C632" s="84">
        <v>157600</v>
      </c>
      <c r="D632" s="93" t="s">
        <v>197</v>
      </c>
      <c r="E632" s="82"/>
      <c r="F632" s="94"/>
      <c r="G632" s="83">
        <f>SUMIF($C$7:$C$551,"=157600",$E$7:$E$551)</f>
        <v>0</v>
      </c>
      <c r="I632" s="146">
        <f t="shared" si="37"/>
        <v>0</v>
      </c>
      <c r="J632" s="249" t="str">
        <f t="shared" si="33"/>
        <v>Provisions pour subventions section saison N non versées</v>
      </c>
    </row>
    <row r="633" spans="2:10" ht="15" customHeight="1" x14ac:dyDescent="0.25">
      <c r="B633" s="283"/>
      <c r="C633" s="84"/>
      <c r="D633" s="93"/>
      <c r="E633" s="82"/>
      <c r="F633" s="94"/>
      <c r="G633" s="83"/>
      <c r="I633" s="146">
        <f t="shared" ref="I633" si="38">G633*$I$636/$G$636</f>
        <v>0</v>
      </c>
      <c r="J633" s="249">
        <f t="shared" si="33"/>
        <v>0</v>
      </c>
    </row>
    <row r="634" spans="2:10" ht="15" customHeight="1" x14ac:dyDescent="0.25">
      <c r="B634" s="283"/>
      <c r="C634" s="95">
        <v>641200</v>
      </c>
      <c r="D634" s="96" t="s">
        <v>185</v>
      </c>
      <c r="E634" s="97"/>
      <c r="F634" s="98"/>
      <c r="G634" s="99">
        <f>SUMIF($C$7:$C$551,"=641200",$E$7:$E$551)</f>
        <v>0</v>
      </c>
      <c r="I634" s="146">
        <f>G634*$I$636/$G$636</f>
        <v>0</v>
      </c>
      <c r="J634" s="249" t="str">
        <f t="shared" si="33"/>
        <v xml:space="preserve">Remboursement chômage partiel </v>
      </c>
    </row>
    <row r="635" spans="2:10" ht="12" customHeight="1" thickBot="1" x14ac:dyDescent="0.3">
      <c r="B635" s="283"/>
      <c r="C635" s="250"/>
      <c r="D635" s="117"/>
      <c r="E635" s="281"/>
      <c r="F635" s="281"/>
      <c r="G635" s="286"/>
    </row>
    <row r="636" spans="2:10" ht="20.149999999999999" customHeight="1" thickBot="1" x14ac:dyDescent="0.3">
      <c r="B636" s="283"/>
      <c r="C636" s="250"/>
      <c r="D636" s="287"/>
      <c r="E636" s="364" t="s">
        <v>1</v>
      </c>
      <c r="F636" s="365"/>
      <c r="G636" s="107">
        <f>SUM(G615:G634)</f>
        <v>46618.670000000006</v>
      </c>
      <c r="H636" s="288"/>
      <c r="I636" s="160">
        <v>1</v>
      </c>
    </row>
    <row r="637" spans="2:10" ht="12" customHeight="1" thickBot="1" x14ac:dyDescent="0.3">
      <c r="B637" s="289"/>
      <c r="C637" s="272"/>
      <c r="D637" s="290"/>
      <c r="E637" s="275"/>
      <c r="F637" s="275"/>
      <c r="G637" s="291"/>
    </row>
    <row r="638" spans="2:10" ht="12" customHeight="1" x14ac:dyDescent="0.25">
      <c r="B638" s="292"/>
      <c r="C638" s="292"/>
      <c r="D638" s="293"/>
      <c r="E638" s="294"/>
      <c r="F638" s="294"/>
      <c r="G638" s="295"/>
    </row>
    <row r="639" spans="2:10" ht="12" customHeight="1" thickBot="1" x14ac:dyDescent="0.3">
      <c r="B639" s="296"/>
      <c r="C639" s="296"/>
      <c r="D639" s="297"/>
      <c r="E639" s="298"/>
      <c r="F639" s="298"/>
      <c r="G639" s="299"/>
    </row>
    <row r="640" spans="2:10" ht="12" customHeight="1" x14ac:dyDescent="0.25">
      <c r="B640" s="375" t="s">
        <v>3</v>
      </c>
      <c r="C640" s="376"/>
      <c r="D640" s="376"/>
      <c r="E640" s="376"/>
      <c r="F640" s="376"/>
      <c r="G640" s="377"/>
    </row>
    <row r="641" spans="2:10" ht="12" customHeight="1" x14ac:dyDescent="0.25">
      <c r="B641" s="372"/>
      <c r="C641" s="373"/>
      <c r="D641" s="373"/>
      <c r="E641" s="373"/>
      <c r="F641" s="373"/>
      <c r="G641" s="374"/>
    </row>
    <row r="642" spans="2:10" ht="12" customHeight="1" x14ac:dyDescent="0.25">
      <c r="B642" s="280"/>
      <c r="C642" s="250"/>
      <c r="D642" s="117"/>
      <c r="E642" s="281"/>
      <c r="F642" s="281"/>
      <c r="G642" s="282"/>
    </row>
    <row r="643" spans="2:10" ht="15" customHeight="1" x14ac:dyDescent="0.25">
      <c r="B643" s="280"/>
      <c r="C643" s="80">
        <v>628100</v>
      </c>
      <c r="D643" s="81" t="s">
        <v>105</v>
      </c>
      <c r="E643" s="100"/>
      <c r="F643" s="101"/>
      <c r="G643" s="102">
        <f>SUMIF($C$7:$C$551,"=628100",$F$7:$CB$551)</f>
        <v>80</v>
      </c>
      <c r="I643" s="146">
        <f>G643*$I$767/$G$767</f>
        <v>1.7556861737299751E-3</v>
      </c>
      <c r="J643" s="249" t="str">
        <f t="shared" ref="J643:J714" si="39">D643</f>
        <v>Cotisations fédérales</v>
      </c>
    </row>
    <row r="644" spans="2:10" ht="15" customHeight="1" x14ac:dyDescent="0.25">
      <c r="B644" s="280"/>
      <c r="C644" s="84">
        <v>628200</v>
      </c>
      <c r="D644" s="85" t="s">
        <v>106</v>
      </c>
      <c r="E644" s="82"/>
      <c r="F644" s="94"/>
      <c r="G644" s="83">
        <f>SUMIF($C$7:$C$551,"=628200",$F$7:$CB$551)</f>
        <v>0</v>
      </c>
      <c r="I644" s="146">
        <f t="shared" ref="I644:I715" si="40">G644*$I$767/$G$767</f>
        <v>0</v>
      </c>
      <c r="J644" s="249" t="str">
        <f t="shared" si="39"/>
        <v>Cotisations régionales et départementales</v>
      </c>
    </row>
    <row r="645" spans="2:10" ht="12.9" customHeight="1" x14ac:dyDescent="0.25">
      <c r="B645" s="280"/>
      <c r="C645" s="84"/>
      <c r="D645" s="85"/>
      <c r="E645" s="82"/>
      <c r="F645" s="94"/>
      <c r="G645" s="103"/>
      <c r="I645" s="146">
        <f t="shared" si="40"/>
        <v>0</v>
      </c>
      <c r="J645" s="249">
        <f t="shared" si="39"/>
        <v>0</v>
      </c>
    </row>
    <row r="646" spans="2:10" ht="15" customHeight="1" x14ac:dyDescent="0.25">
      <c r="B646" s="283"/>
      <c r="C646" s="84">
        <v>652100</v>
      </c>
      <c r="D646" s="85" t="s">
        <v>43</v>
      </c>
      <c r="E646" s="82"/>
      <c r="F646" s="94"/>
      <c r="G646" s="83">
        <f>SUMIF($C$7:$C$551,"=652100",$F$7:$CB$551)</f>
        <v>9269</v>
      </c>
      <c r="I646" s="146">
        <f t="shared" si="40"/>
        <v>0.20341818930378924</v>
      </c>
      <c r="J646" s="249" t="str">
        <f t="shared" si="39"/>
        <v>Licences</v>
      </c>
    </row>
    <row r="647" spans="2:10" ht="15" customHeight="1" x14ac:dyDescent="0.25">
      <c r="B647" s="283"/>
      <c r="C647" s="84">
        <v>652105</v>
      </c>
      <c r="D647" s="85" t="s">
        <v>198</v>
      </c>
      <c r="E647" s="82"/>
      <c r="F647" s="94"/>
      <c r="G647" s="83">
        <f>SUMIF($C$7:$C$551,"=652105",$F$7:$CB$551)</f>
        <v>0</v>
      </c>
      <c r="I647" s="146">
        <f t="shared" si="40"/>
        <v>0</v>
      </c>
      <c r="J647" s="249" t="str">
        <f t="shared" si="39"/>
        <v>Droits de mutation</v>
      </c>
    </row>
    <row r="648" spans="2:10" ht="15" customHeight="1" x14ac:dyDescent="0.25">
      <c r="B648" s="283"/>
      <c r="C648" s="84">
        <v>652110</v>
      </c>
      <c r="D648" s="85" t="s">
        <v>44</v>
      </c>
      <c r="E648" s="82"/>
      <c r="F648" s="94"/>
      <c r="G648" s="104">
        <f>SUMIF($C$7:$C$551,"=652110",$F$7:$CB$551)</f>
        <v>0</v>
      </c>
      <c r="I648" s="146">
        <f t="shared" si="40"/>
        <v>0</v>
      </c>
      <c r="J648" s="249" t="str">
        <f t="shared" si="39"/>
        <v>Assurances individuelles</v>
      </c>
    </row>
    <row r="649" spans="2:10" ht="15" customHeight="1" x14ac:dyDescent="0.25">
      <c r="B649" s="283"/>
      <c r="C649" s="84">
        <v>652211</v>
      </c>
      <c r="D649" s="85" t="s">
        <v>45</v>
      </c>
      <c r="E649" s="82"/>
      <c r="F649" s="94"/>
      <c r="G649" s="104">
        <f>SUMIF($C$7:$C$551,"=652211",$F$7:$CB$551)</f>
        <v>0</v>
      </c>
      <c r="I649" s="146">
        <f t="shared" si="40"/>
        <v>0</v>
      </c>
      <c r="J649" s="249" t="str">
        <f t="shared" si="39"/>
        <v>Engagements sports collectifs national et +</v>
      </c>
    </row>
    <row r="650" spans="2:10" ht="15" customHeight="1" x14ac:dyDescent="0.25">
      <c r="B650" s="283"/>
      <c r="C650" s="84">
        <v>652212</v>
      </c>
      <c r="D650" s="85" t="s">
        <v>46</v>
      </c>
      <c r="E650" s="82"/>
      <c r="F650" s="94"/>
      <c r="G650" s="104">
        <f>SUMIF($C$7:$C$551,"=652212",$F$7:$CB$551)</f>
        <v>0</v>
      </c>
      <c r="I650" s="146">
        <f t="shared" si="40"/>
        <v>0</v>
      </c>
      <c r="J650" s="249" t="str">
        <f t="shared" si="39"/>
        <v>Engagements sports collectifs régional et -</v>
      </c>
    </row>
    <row r="651" spans="2:10" ht="15" customHeight="1" x14ac:dyDescent="0.25">
      <c r="B651" s="283"/>
      <c r="C651" s="84">
        <v>652221</v>
      </c>
      <c r="D651" s="85" t="s">
        <v>47</v>
      </c>
      <c r="E651" s="82"/>
      <c r="F651" s="94"/>
      <c r="G651" s="104">
        <f>SUMIF($C$7:$C$551,"=652221",$F$7:$CB$551)</f>
        <v>0</v>
      </c>
      <c r="I651" s="146">
        <f t="shared" si="40"/>
        <v>0</v>
      </c>
      <c r="J651" s="249" t="str">
        <f t="shared" si="39"/>
        <v>Engagements sports individuels national et +</v>
      </c>
    </row>
    <row r="652" spans="2:10" ht="15" customHeight="1" x14ac:dyDescent="0.25">
      <c r="B652" s="283"/>
      <c r="C652" s="84">
        <v>652222</v>
      </c>
      <c r="D652" s="85" t="s">
        <v>48</v>
      </c>
      <c r="E652" s="82"/>
      <c r="F652" s="94"/>
      <c r="G652" s="104">
        <f>SUMIF($C$7:$C$551,"=652222",$F$7:$CB$551)</f>
        <v>0</v>
      </c>
      <c r="I652" s="146">
        <f t="shared" si="40"/>
        <v>0</v>
      </c>
      <c r="J652" s="249" t="str">
        <f t="shared" si="39"/>
        <v>Engagements sports individuels régional et -</v>
      </c>
    </row>
    <row r="653" spans="2:10" ht="12.9" customHeight="1" x14ac:dyDescent="0.25">
      <c r="B653" s="283"/>
      <c r="C653" s="84"/>
      <c r="D653" s="85"/>
      <c r="E653" s="82"/>
      <c r="F653" s="94"/>
      <c r="G653" s="105"/>
      <c r="I653" s="146">
        <f t="shared" si="40"/>
        <v>0</v>
      </c>
      <c r="J653" s="249">
        <f t="shared" si="39"/>
        <v>0</v>
      </c>
    </row>
    <row r="654" spans="2:10" ht="15" customHeight="1" x14ac:dyDescent="0.25">
      <c r="B654" s="283"/>
      <c r="C654" s="84">
        <v>658000</v>
      </c>
      <c r="D654" s="85" t="s">
        <v>49</v>
      </c>
      <c r="E654" s="82"/>
      <c r="F654" s="94"/>
      <c r="G654" s="104">
        <f>SUMIF($C$7:$C$551,"=658000",$F$7:$CB$551)</f>
        <v>0</v>
      </c>
      <c r="I654" s="146">
        <f t="shared" si="40"/>
        <v>0</v>
      </c>
      <c r="J654" s="249" t="str">
        <f t="shared" si="39"/>
        <v>Charges diverses de gestion courante</v>
      </c>
    </row>
    <row r="655" spans="2:10" ht="12.9" customHeight="1" x14ac:dyDescent="0.25">
      <c r="B655" s="283"/>
      <c r="C655" s="84"/>
      <c r="D655" s="85"/>
      <c r="E655" s="82"/>
      <c r="F655" s="94"/>
      <c r="G655" s="105"/>
      <c r="I655" s="146">
        <f t="shared" si="40"/>
        <v>0</v>
      </c>
      <c r="J655" s="249">
        <f t="shared" si="39"/>
        <v>0</v>
      </c>
    </row>
    <row r="656" spans="2:10" ht="15" customHeight="1" x14ac:dyDescent="0.25">
      <c r="B656" s="283"/>
      <c r="C656" s="84">
        <v>659100</v>
      </c>
      <c r="D656" s="85" t="s">
        <v>50</v>
      </c>
      <c r="E656" s="82"/>
      <c r="F656" s="94"/>
      <c r="G656" s="104">
        <f>SUMIF($C$7:$C$551,"=659100",$F$7:$CB$551)</f>
        <v>0</v>
      </c>
      <c r="I656" s="146">
        <f t="shared" si="40"/>
        <v>0</v>
      </c>
      <c r="J656" s="249" t="str">
        <f t="shared" si="39"/>
        <v>Subvention du C.A.</v>
      </c>
    </row>
    <row r="657" spans="2:10" ht="15" customHeight="1" x14ac:dyDescent="0.25">
      <c r="B657" s="283"/>
      <c r="C657" s="84">
        <v>659200</v>
      </c>
      <c r="D657" s="85" t="s">
        <v>51</v>
      </c>
      <c r="E657" s="82"/>
      <c r="F657" s="94"/>
      <c r="G657" s="104">
        <f>SUMIF($C$7:$C$551,"=659200",$F$7:$CB$551)</f>
        <v>0</v>
      </c>
      <c r="I657" s="146">
        <f t="shared" si="40"/>
        <v>0</v>
      </c>
      <c r="J657" s="249" t="str">
        <f t="shared" si="39"/>
        <v>Rétrocession de subvention spécifique communale</v>
      </c>
    </row>
    <row r="658" spans="2:10" ht="15" customHeight="1" x14ac:dyDescent="0.25">
      <c r="B658" s="283"/>
      <c r="C658" s="84">
        <v>659300</v>
      </c>
      <c r="D658" s="85" t="s">
        <v>52</v>
      </c>
      <c r="E658" s="82"/>
      <c r="F658" s="94"/>
      <c r="G658" s="104">
        <f>SUMIF($C$7:$C$551,"=659300",$F$7:$CB$551)</f>
        <v>0</v>
      </c>
      <c r="I658" s="146">
        <f t="shared" si="40"/>
        <v>0</v>
      </c>
      <c r="J658" s="249" t="str">
        <f t="shared" si="39"/>
        <v>Rétrocession de subvention spécifique départementale</v>
      </c>
    </row>
    <row r="659" spans="2:10" ht="15" customHeight="1" x14ac:dyDescent="0.25">
      <c r="B659" s="283"/>
      <c r="C659" s="84">
        <v>659400</v>
      </c>
      <c r="D659" s="85" t="s">
        <v>53</v>
      </c>
      <c r="E659" s="82"/>
      <c r="F659" s="94"/>
      <c r="G659" s="104">
        <f>SUMIF($C$7:$C$551,"=659400",$F$7:$CB$551)</f>
        <v>0</v>
      </c>
      <c r="I659" s="146">
        <f t="shared" si="40"/>
        <v>0</v>
      </c>
      <c r="J659" s="249" t="str">
        <f t="shared" si="39"/>
        <v>Rétrocession de subvention spécifique nationale</v>
      </c>
    </row>
    <row r="660" spans="2:10" ht="12.9" customHeight="1" x14ac:dyDescent="0.25">
      <c r="B660" s="283"/>
      <c r="C660" s="84"/>
      <c r="D660" s="85"/>
      <c r="E660" s="82"/>
      <c r="F660" s="94"/>
      <c r="G660" s="105"/>
      <c r="I660" s="146">
        <f t="shared" si="40"/>
        <v>0</v>
      </c>
      <c r="J660" s="249">
        <f t="shared" si="39"/>
        <v>0</v>
      </c>
    </row>
    <row r="661" spans="2:10" ht="15" customHeight="1" x14ac:dyDescent="0.25">
      <c r="B661" s="283"/>
      <c r="C661" s="84">
        <v>641100</v>
      </c>
      <c r="D661" s="85" t="s">
        <v>54</v>
      </c>
      <c r="E661" s="82"/>
      <c r="F661" s="94"/>
      <c r="G661" s="104">
        <f>SUMIF($C$7:$C$551,"=641100",$F$7:$CB$551)</f>
        <v>0</v>
      </c>
      <c r="I661" s="146">
        <f t="shared" si="40"/>
        <v>0</v>
      </c>
      <c r="J661" s="249" t="str">
        <f t="shared" si="39"/>
        <v>Personnel administratif</v>
      </c>
    </row>
    <row r="662" spans="2:10" ht="15" customHeight="1" x14ac:dyDescent="0.25">
      <c r="B662" s="283"/>
      <c r="C662" s="84">
        <v>641200</v>
      </c>
      <c r="D662" s="85" t="s">
        <v>55</v>
      </c>
      <c r="E662" s="82"/>
      <c r="F662" s="94"/>
      <c r="G662" s="104">
        <f>SUMIF($C$7:$C$551,"=641200",$F$7:$CB$551)</f>
        <v>20228.469999999994</v>
      </c>
      <c r="I662" s="146">
        <f t="shared" si="40"/>
        <v>0.44393556368389475</v>
      </c>
      <c r="J662" s="249" t="str">
        <f t="shared" si="39"/>
        <v>Personnel encadrement technique</v>
      </c>
    </row>
    <row r="663" spans="2:10" ht="15" customHeight="1" x14ac:dyDescent="0.25">
      <c r="B663" s="283"/>
      <c r="C663" s="84">
        <v>641300</v>
      </c>
      <c r="D663" s="85" t="s">
        <v>56</v>
      </c>
      <c r="E663" s="82"/>
      <c r="F663" s="94"/>
      <c r="G663" s="104">
        <f>SUMIF($C$7:$C$551,"=641300",$F$7:$CB$551)</f>
        <v>0</v>
      </c>
      <c r="I663" s="146">
        <f t="shared" si="40"/>
        <v>0</v>
      </c>
      <c r="J663" s="249" t="str">
        <f t="shared" si="39"/>
        <v>Personnel joueurs</v>
      </c>
    </row>
    <row r="664" spans="2:10" ht="12.9" customHeight="1" x14ac:dyDescent="0.25">
      <c r="B664" s="283"/>
      <c r="C664" s="84"/>
      <c r="D664" s="85"/>
      <c r="E664" s="82"/>
      <c r="F664" s="94"/>
      <c r="G664" s="105"/>
      <c r="I664" s="146">
        <f t="shared" si="40"/>
        <v>0</v>
      </c>
      <c r="J664" s="249">
        <f t="shared" si="39"/>
        <v>0</v>
      </c>
    </row>
    <row r="665" spans="2:10" ht="15" customHeight="1" x14ac:dyDescent="0.25">
      <c r="B665" s="283"/>
      <c r="C665" s="84">
        <v>645100</v>
      </c>
      <c r="D665" s="85" t="s">
        <v>57</v>
      </c>
      <c r="E665" s="82"/>
      <c r="F665" s="94"/>
      <c r="G665" s="104">
        <f>SUMIF($C$7:$C$551,"=645100",$F$7:$CB$551)</f>
        <v>0</v>
      </c>
      <c r="I665" s="146">
        <f t="shared" si="40"/>
        <v>0</v>
      </c>
      <c r="J665" s="249" t="str">
        <f t="shared" si="39"/>
        <v>Cotisations URSSAF</v>
      </c>
    </row>
    <row r="666" spans="2:10" ht="15" customHeight="1" x14ac:dyDescent="0.25">
      <c r="B666" s="283"/>
      <c r="C666" s="84">
        <v>645300</v>
      </c>
      <c r="D666" s="85" t="s">
        <v>58</v>
      </c>
      <c r="E666" s="82"/>
      <c r="F666" s="94"/>
      <c r="G666" s="104">
        <f>SUMIF($C$7:$C$551,"=645300",$F$7:$CB$551)</f>
        <v>0</v>
      </c>
      <c r="I666" s="146">
        <f t="shared" si="40"/>
        <v>0</v>
      </c>
      <c r="J666" s="249" t="str">
        <f t="shared" si="39"/>
        <v>Cotisations aux caisses de retraite</v>
      </c>
    </row>
    <row r="667" spans="2:10" ht="15" customHeight="1" x14ac:dyDescent="0.25">
      <c r="B667" s="283"/>
      <c r="C667" s="84">
        <v>645400</v>
      </c>
      <c r="D667" s="85" t="s">
        <v>59</v>
      </c>
      <c r="E667" s="82"/>
      <c r="F667" s="94"/>
      <c r="G667" s="104">
        <f>SUMIF($C$7:$C$551,"=645400",$F$7:$CB$551)</f>
        <v>0</v>
      </c>
      <c r="I667" s="146">
        <f t="shared" si="40"/>
        <v>0</v>
      </c>
      <c r="J667" s="249" t="str">
        <f t="shared" si="39"/>
        <v>Cotisations aux ASSEDIC</v>
      </c>
    </row>
    <row r="668" spans="2:10" ht="15" customHeight="1" x14ac:dyDescent="0.25">
      <c r="B668" s="283"/>
      <c r="C668" s="84">
        <v>645500</v>
      </c>
      <c r="D668" s="85" t="s">
        <v>172</v>
      </c>
      <c r="E668" s="82"/>
      <c r="F668" s="94"/>
      <c r="G668" s="104">
        <f>SUMIF($C$7:$C$551,"=645500",$F$7:$CB$551)</f>
        <v>0</v>
      </c>
      <c r="I668" s="146">
        <f t="shared" si="40"/>
        <v>0</v>
      </c>
      <c r="J668" s="249" t="str">
        <f t="shared" si="39"/>
        <v>Cotisations de prévoyance</v>
      </c>
    </row>
    <row r="669" spans="2:10" ht="15" customHeight="1" x14ac:dyDescent="0.25">
      <c r="B669" s="283"/>
      <c r="C669" s="84">
        <v>645600</v>
      </c>
      <c r="D669" s="85" t="s">
        <v>199</v>
      </c>
      <c r="E669" s="82"/>
      <c r="F669" s="94"/>
      <c r="G669" s="104">
        <f>SUMIF($C$7:$C$551,"=645600",$F$7:$CB$551)</f>
        <v>94.78</v>
      </c>
      <c r="I669" s="146">
        <f t="shared" si="40"/>
        <v>2.0800491943265883E-3</v>
      </c>
      <c r="J669" s="249" t="str">
        <f t="shared" si="39"/>
        <v>Cotisations Uniformation</v>
      </c>
    </row>
    <row r="670" spans="2:10" ht="15" customHeight="1" x14ac:dyDescent="0.25">
      <c r="B670" s="283"/>
      <c r="C670" s="84"/>
      <c r="D670" s="85"/>
      <c r="E670" s="82"/>
      <c r="F670" s="94"/>
      <c r="G670" s="104"/>
      <c r="I670" s="146">
        <f t="shared" si="40"/>
        <v>0</v>
      </c>
      <c r="J670" s="249">
        <f t="shared" si="39"/>
        <v>0</v>
      </c>
    </row>
    <row r="671" spans="2:10" ht="15" customHeight="1" x14ac:dyDescent="0.25">
      <c r="B671" s="283"/>
      <c r="C671" s="84">
        <v>645700</v>
      </c>
      <c r="D671" s="85" t="s">
        <v>200</v>
      </c>
      <c r="E671" s="82"/>
      <c r="F671" s="94"/>
      <c r="G671" s="104">
        <f>SUMIF($C$7:$C$551,"=645700",$F$7:$CB$551)</f>
        <v>650.75</v>
      </c>
      <c r="I671" s="146">
        <f t="shared" si="40"/>
        <v>1.4281409719434767E-2</v>
      </c>
      <c r="J671" s="249" t="str">
        <f t="shared" si="39"/>
        <v>Prélèvement à la source</v>
      </c>
    </row>
    <row r="672" spans="2:10" ht="15" customHeight="1" x14ac:dyDescent="0.25">
      <c r="B672" s="283"/>
      <c r="C672" s="84">
        <v>645800</v>
      </c>
      <c r="D672" s="85" t="s">
        <v>201</v>
      </c>
      <c r="E672" s="82"/>
      <c r="F672" s="94"/>
      <c r="G672" s="104">
        <f>SUMIF($C$7:$C$551,"=645800",$F$7:$CB$551)</f>
        <v>7844.1800000000012</v>
      </c>
      <c r="I672" s="146">
        <f t="shared" si="40"/>
        <v>0.17214897962811498</v>
      </c>
      <c r="J672" s="249" t="str">
        <f t="shared" si="39"/>
        <v>Charges sociales versées au Comité Directeur</v>
      </c>
    </row>
    <row r="673" spans="2:10" ht="15" customHeight="1" x14ac:dyDescent="0.25">
      <c r="B673" s="283"/>
      <c r="C673" s="84"/>
      <c r="D673" s="85"/>
      <c r="E673" s="82"/>
      <c r="F673" s="94"/>
      <c r="G673" s="104"/>
      <c r="I673" s="146">
        <f t="shared" si="40"/>
        <v>0</v>
      </c>
      <c r="J673" s="249">
        <f t="shared" si="39"/>
        <v>0</v>
      </c>
    </row>
    <row r="674" spans="2:10" ht="15" customHeight="1" x14ac:dyDescent="0.25">
      <c r="B674" s="283"/>
      <c r="C674" s="84">
        <v>647500</v>
      </c>
      <c r="D674" s="85" t="s">
        <v>60</v>
      </c>
      <c r="E674" s="82"/>
      <c r="F674" s="94"/>
      <c r="G674" s="104">
        <f>SUMIF($C$7:$C$551,"=647500",$F$7:$CB$551)</f>
        <v>141</v>
      </c>
      <c r="I674" s="146">
        <f t="shared" si="40"/>
        <v>3.0943968811990813E-3</v>
      </c>
      <c r="J674" s="249" t="str">
        <f t="shared" si="39"/>
        <v>Médecine du travail</v>
      </c>
    </row>
    <row r="675" spans="2:10" ht="12.9" customHeight="1" x14ac:dyDescent="0.25">
      <c r="B675" s="283"/>
      <c r="C675" s="84"/>
      <c r="D675" s="85"/>
      <c r="E675" s="82"/>
      <c r="F675" s="94"/>
      <c r="G675" s="104"/>
      <c r="I675" s="146">
        <f t="shared" si="40"/>
        <v>0</v>
      </c>
      <c r="J675" s="249">
        <f t="shared" si="39"/>
        <v>0</v>
      </c>
    </row>
    <row r="676" spans="2:10" ht="12.9" customHeight="1" x14ac:dyDescent="0.25">
      <c r="B676" s="283"/>
      <c r="C676" s="84">
        <v>668010</v>
      </c>
      <c r="D676" s="85" t="s">
        <v>202</v>
      </c>
      <c r="E676" s="82"/>
      <c r="F676" s="94"/>
      <c r="G676" s="104">
        <f>SUMIF($C$7:$C$551,"=668010",$F$7:$CB$551)</f>
        <v>0</v>
      </c>
      <c r="I676" s="146">
        <f t="shared" si="40"/>
        <v>0</v>
      </c>
      <c r="J676" s="249" t="str">
        <f t="shared" si="39"/>
        <v>Rbt ANCV chèques vacances aux sections</v>
      </c>
    </row>
    <row r="677" spans="2:10" ht="12.9" customHeight="1" x14ac:dyDescent="0.25">
      <c r="B677" s="283"/>
      <c r="C677" s="84">
        <v>668020</v>
      </c>
      <c r="D677" s="85" t="s">
        <v>203</v>
      </c>
      <c r="E677" s="82"/>
      <c r="F677" s="94"/>
      <c r="G677" s="104">
        <f>SUMIF($C$7:$C$551,"=668020",$F$7:$CB$551)</f>
        <v>0</v>
      </c>
      <c r="I677" s="146">
        <f t="shared" si="40"/>
        <v>0</v>
      </c>
      <c r="J677" s="249" t="str">
        <f t="shared" si="39"/>
        <v>Rbt ANCV coupons cports aux sections</v>
      </c>
    </row>
    <row r="678" spans="2:10" ht="12.9" customHeight="1" x14ac:dyDescent="0.25">
      <c r="B678" s="283"/>
      <c r="C678" s="84"/>
      <c r="D678" s="85"/>
      <c r="E678" s="82"/>
      <c r="F678" s="94"/>
      <c r="G678" s="104"/>
      <c r="I678" s="146">
        <f t="shared" si="40"/>
        <v>0</v>
      </c>
      <c r="J678" s="249">
        <f t="shared" si="39"/>
        <v>0</v>
      </c>
    </row>
    <row r="679" spans="2:10" ht="15" customHeight="1" x14ac:dyDescent="0.25">
      <c r="B679" s="283"/>
      <c r="C679" s="84">
        <v>631100</v>
      </c>
      <c r="D679" s="85" t="s">
        <v>107</v>
      </c>
      <c r="E679" s="82"/>
      <c r="F679" s="94"/>
      <c r="G679" s="104">
        <f>SUMIF($C$7:$C$551,"=631100",$F$7:$CB$551)</f>
        <v>0</v>
      </c>
      <c r="I679" s="146">
        <f t="shared" si="40"/>
        <v>0</v>
      </c>
      <c r="J679" s="249" t="str">
        <f t="shared" si="39"/>
        <v>Taxe sur les salaires</v>
      </c>
    </row>
    <row r="680" spans="2:10" ht="15" customHeight="1" x14ac:dyDescent="0.25">
      <c r="B680" s="283"/>
      <c r="C680" s="84">
        <v>633200</v>
      </c>
      <c r="D680" s="85" t="s">
        <v>108</v>
      </c>
      <c r="E680" s="82"/>
      <c r="F680" s="94"/>
      <c r="G680" s="104">
        <f>SUMIF($C$7:$C$551,"=633200",$F$7:$CB$551)</f>
        <v>0</v>
      </c>
      <c r="I680" s="146">
        <f t="shared" si="40"/>
        <v>0</v>
      </c>
      <c r="J680" s="249" t="str">
        <f t="shared" si="39"/>
        <v>Taxe d'apprentissage</v>
      </c>
    </row>
    <row r="681" spans="2:10" ht="15" customHeight="1" x14ac:dyDescent="0.25">
      <c r="B681" s="283"/>
      <c r="C681" s="84">
        <v>633300</v>
      </c>
      <c r="D681" s="85" t="s">
        <v>109</v>
      </c>
      <c r="E681" s="82"/>
      <c r="F681" s="94"/>
      <c r="G681" s="104">
        <f>SUMIF($C$7:$C$551,"=633300",$F$7:$CB$551)</f>
        <v>0</v>
      </c>
      <c r="I681" s="146">
        <f t="shared" si="40"/>
        <v>0</v>
      </c>
      <c r="J681" s="249" t="str">
        <f t="shared" si="39"/>
        <v>Formation professionnelle</v>
      </c>
    </row>
    <row r="682" spans="2:10" ht="15" customHeight="1" x14ac:dyDescent="0.25">
      <c r="B682" s="283"/>
      <c r="C682" s="84">
        <v>633400</v>
      </c>
      <c r="D682" s="85" t="s">
        <v>110</v>
      </c>
      <c r="E682" s="82"/>
      <c r="F682" s="94"/>
      <c r="G682" s="104">
        <f>SUMIF($C$7:$C$551,"=633400",$F$7:$CB$551)</f>
        <v>0</v>
      </c>
      <c r="I682" s="146">
        <f t="shared" si="40"/>
        <v>0</v>
      </c>
      <c r="J682" s="249" t="str">
        <f t="shared" si="39"/>
        <v>Participation à l'effort de construction</v>
      </c>
    </row>
    <row r="683" spans="2:10" ht="12.9" customHeight="1" x14ac:dyDescent="0.25">
      <c r="B683" s="283"/>
      <c r="C683" s="84"/>
      <c r="D683" s="85"/>
      <c r="E683" s="82"/>
      <c r="F683" s="94"/>
      <c r="G683" s="105"/>
      <c r="I683" s="146">
        <f t="shared" si="40"/>
        <v>0</v>
      </c>
      <c r="J683" s="249">
        <f t="shared" si="39"/>
        <v>0</v>
      </c>
    </row>
    <row r="684" spans="2:10" ht="15" customHeight="1" x14ac:dyDescent="0.25">
      <c r="B684" s="283"/>
      <c r="C684" s="84">
        <v>605100</v>
      </c>
      <c r="D684" s="85" t="s">
        <v>61</v>
      </c>
      <c r="E684" s="82"/>
      <c r="F684" s="94"/>
      <c r="G684" s="104">
        <f>SUMIF($C$7:$C$551,"=605100",$F$7:$CB$551)</f>
        <v>1931.3100000000002</v>
      </c>
      <c r="I684" s="146">
        <f t="shared" si="40"/>
        <v>4.2384678302330482E-2</v>
      </c>
      <c r="J684" s="249" t="str">
        <f t="shared" si="39"/>
        <v>Achats de matériel</v>
      </c>
    </row>
    <row r="685" spans="2:10" ht="15" customHeight="1" x14ac:dyDescent="0.25">
      <c r="B685" s="283"/>
      <c r="C685" s="84">
        <v>605200</v>
      </c>
      <c r="D685" s="85" t="s">
        <v>62</v>
      </c>
      <c r="E685" s="82"/>
      <c r="F685" s="94"/>
      <c r="G685" s="104">
        <f>SUMIF($C$7:$C$551,"=605200",$F$7:$CB$551)</f>
        <v>0</v>
      </c>
      <c r="I685" s="146">
        <f t="shared" si="40"/>
        <v>0</v>
      </c>
      <c r="J685" s="249" t="str">
        <f t="shared" si="39"/>
        <v>Achats d'équipements sportifs</v>
      </c>
    </row>
    <row r="686" spans="2:10" ht="15" customHeight="1" x14ac:dyDescent="0.25">
      <c r="B686" s="283"/>
      <c r="C686" s="84">
        <v>605210</v>
      </c>
      <c r="D686" s="85" t="s">
        <v>153</v>
      </c>
      <c r="E686" s="82"/>
      <c r="F686" s="94"/>
      <c r="G686" s="104">
        <f>SUMIF($C$7:$C$551,"=605210",$F$7:$CB$551)</f>
        <v>0</v>
      </c>
      <c r="I686" s="146">
        <f t="shared" si="40"/>
        <v>0</v>
      </c>
      <c r="J686" s="249" t="str">
        <f t="shared" si="39"/>
        <v>Achats d'équipements pour entraineurs</v>
      </c>
    </row>
    <row r="687" spans="2:10" ht="15" customHeight="1" x14ac:dyDescent="0.25">
      <c r="B687" s="283"/>
      <c r="C687" s="84">
        <v>605220</v>
      </c>
      <c r="D687" s="85" t="s">
        <v>154</v>
      </c>
      <c r="E687" s="82"/>
      <c r="F687" s="94"/>
      <c r="G687" s="104">
        <f>SUMIF($C$7:$C$551,"=605220",$F$7:$CB$551)</f>
        <v>0</v>
      </c>
      <c r="I687" s="146">
        <f t="shared" si="40"/>
        <v>0</v>
      </c>
      <c r="J687" s="249" t="str">
        <f t="shared" si="39"/>
        <v>Achats d'équipements pour sportifs</v>
      </c>
    </row>
    <row r="688" spans="2:10" ht="15" customHeight="1" x14ac:dyDescent="0.25">
      <c r="B688" s="283"/>
      <c r="C688" s="84">
        <v>605400</v>
      </c>
      <c r="D688" s="85" t="s">
        <v>63</v>
      </c>
      <c r="E688" s="82"/>
      <c r="F688" s="94"/>
      <c r="G688" s="104">
        <f>SUMIF($C$7:$C$551,"=605400",$F$7:$CB$551)</f>
        <v>0</v>
      </c>
      <c r="I688" s="146">
        <f t="shared" si="40"/>
        <v>0</v>
      </c>
      <c r="J688" s="249" t="str">
        <f t="shared" si="39"/>
        <v>Achats de coupes, trophées, médailles</v>
      </c>
    </row>
    <row r="689" spans="2:10" ht="12.9" customHeight="1" x14ac:dyDescent="0.25">
      <c r="B689" s="283"/>
      <c r="C689" s="84"/>
      <c r="D689" s="85"/>
      <c r="E689" s="82"/>
      <c r="F689" s="94"/>
      <c r="G689" s="105"/>
      <c r="I689" s="146">
        <f t="shared" si="40"/>
        <v>0</v>
      </c>
      <c r="J689" s="249">
        <f t="shared" si="39"/>
        <v>0</v>
      </c>
    </row>
    <row r="690" spans="2:10" ht="15" customHeight="1" x14ac:dyDescent="0.25">
      <c r="B690" s="283"/>
      <c r="C690" s="84">
        <v>606200</v>
      </c>
      <c r="D690" s="85" t="s">
        <v>170</v>
      </c>
      <c r="E690" s="82"/>
      <c r="F690" s="94"/>
      <c r="G690" s="104">
        <f>SUMIF($C$7:$C$551,"=606200",$F$7:$CB$551)</f>
        <v>0</v>
      </c>
      <c r="I690" s="146">
        <f t="shared" si="40"/>
        <v>0</v>
      </c>
      <c r="J690" s="249" t="str">
        <f t="shared" si="39"/>
        <v>Fournitures non stockables</v>
      </c>
    </row>
    <row r="691" spans="2:10" ht="15" customHeight="1" x14ac:dyDescent="0.25">
      <c r="B691" s="283"/>
      <c r="C691" s="84">
        <v>606300</v>
      </c>
      <c r="D691" s="85" t="s">
        <v>65</v>
      </c>
      <c r="E691" s="82"/>
      <c r="F691" s="94"/>
      <c r="G691" s="104">
        <f>SUMIF($C$7:$C$551,"=606300",$F$7:$CB$551)</f>
        <v>0</v>
      </c>
      <c r="I691" s="146">
        <f t="shared" si="40"/>
        <v>0</v>
      </c>
      <c r="J691" s="249" t="str">
        <f t="shared" si="39"/>
        <v>Fournitures d'entretien et petit matériel</v>
      </c>
    </row>
    <row r="692" spans="2:10" ht="15" customHeight="1" x14ac:dyDescent="0.25">
      <c r="B692" s="283"/>
      <c r="C692" s="84">
        <v>606400</v>
      </c>
      <c r="D692" s="85" t="s">
        <v>64</v>
      </c>
      <c r="E692" s="82"/>
      <c r="F692" s="94"/>
      <c r="G692" s="104">
        <f>SUMIF($C$7:$C$551,"=606400",$F$7:$CB$551)</f>
        <v>226.79000000000002</v>
      </c>
      <c r="I692" s="146">
        <f>G692*$I$767/$G$767</f>
        <v>4.9771508417527635E-3</v>
      </c>
      <c r="J692" s="249" t="str">
        <f t="shared" si="39"/>
        <v>Fournitures administratives</v>
      </c>
    </row>
    <row r="693" spans="2:10" ht="15" customHeight="1" x14ac:dyDescent="0.25">
      <c r="B693" s="283"/>
      <c r="C693" s="84">
        <v>606500</v>
      </c>
      <c r="D693" s="85" t="s">
        <v>66</v>
      </c>
      <c r="E693" s="82"/>
      <c r="F693" s="94"/>
      <c r="G693" s="104">
        <f>SUMIF($C$7:$C$551,"=606500",$F$7:$CB$551)</f>
        <v>0</v>
      </c>
      <c r="I693" s="146">
        <f t="shared" si="40"/>
        <v>0</v>
      </c>
      <c r="J693" s="249" t="str">
        <f t="shared" si="39"/>
        <v>Fourniture médicales</v>
      </c>
    </row>
    <row r="694" spans="2:10" ht="15" customHeight="1" x14ac:dyDescent="0.25">
      <c r="B694" s="283"/>
      <c r="C694" s="84">
        <v>606800</v>
      </c>
      <c r="D694" s="85" t="s">
        <v>67</v>
      </c>
      <c r="E694" s="82"/>
      <c r="F694" s="94"/>
      <c r="G694" s="104">
        <f>SUMIF($C$7:$C$551,"=606800",$F$7:$CB$551)</f>
        <v>31.7</v>
      </c>
      <c r="I694" s="146">
        <f t="shared" si="40"/>
        <v>6.9569064634050261E-4</v>
      </c>
      <c r="J694" s="249" t="str">
        <f t="shared" si="39"/>
        <v>Fournitures diverses</v>
      </c>
    </row>
    <row r="695" spans="2:10" ht="12.9" customHeight="1" x14ac:dyDescent="0.25">
      <c r="B695" s="283"/>
      <c r="C695" s="84"/>
      <c r="D695" s="85"/>
      <c r="E695" s="82"/>
      <c r="F695" s="94"/>
      <c r="G695" s="105"/>
      <c r="I695" s="146">
        <f t="shared" si="40"/>
        <v>0</v>
      </c>
      <c r="J695" s="249">
        <f t="shared" si="39"/>
        <v>0</v>
      </c>
    </row>
    <row r="696" spans="2:10" ht="15" customHeight="1" x14ac:dyDescent="0.25">
      <c r="B696" s="283"/>
      <c r="C696" s="84">
        <v>607100</v>
      </c>
      <c r="D696" s="85" t="s">
        <v>68</v>
      </c>
      <c r="E696" s="82"/>
      <c r="F696" s="94"/>
      <c r="G696" s="104">
        <f>SUMIF($C$7:$C$551,"=607100",$F$7:$CB$551)</f>
        <v>7.68</v>
      </c>
      <c r="I696" s="146">
        <f t="shared" si="40"/>
        <v>1.6854587267807762E-4</v>
      </c>
      <c r="J696" s="249" t="str">
        <f t="shared" si="39"/>
        <v>Achats aliments</v>
      </c>
    </row>
    <row r="697" spans="2:10" ht="15" customHeight="1" x14ac:dyDescent="0.25">
      <c r="B697" s="283"/>
      <c r="C697" s="84">
        <v>607200</v>
      </c>
      <c r="D697" s="85" t="s">
        <v>69</v>
      </c>
      <c r="E697" s="82"/>
      <c r="F697" s="94"/>
      <c r="G697" s="104">
        <f>SUMIF($C$7:$C$551,"=607200",$F$7:$CB$551)</f>
        <v>33.440000000000005</v>
      </c>
      <c r="I697" s="146">
        <f t="shared" si="40"/>
        <v>7.3387682061912978E-4</v>
      </c>
      <c r="J697" s="249" t="str">
        <f t="shared" si="39"/>
        <v>Achats boissons</v>
      </c>
    </row>
    <row r="698" spans="2:10" ht="15" customHeight="1" x14ac:dyDescent="0.25">
      <c r="B698" s="283"/>
      <c r="C698" s="84">
        <v>607500</v>
      </c>
      <c r="D698" s="85" t="s">
        <v>71</v>
      </c>
      <c r="E698" s="82"/>
      <c r="F698" s="94"/>
      <c r="G698" s="104">
        <f>SUMIF($C$7:$C$551,"=607500",$F$7:$CB$551)</f>
        <v>0</v>
      </c>
      <c r="I698" s="146">
        <f t="shared" si="40"/>
        <v>0</v>
      </c>
      <c r="J698" s="249" t="str">
        <f t="shared" si="39"/>
        <v>Achats insignes, fanions, accessoires, gadgets…</v>
      </c>
    </row>
    <row r="699" spans="2:10" ht="15" customHeight="1" x14ac:dyDescent="0.25">
      <c r="B699" s="283"/>
      <c r="C699" s="84">
        <v>607600</v>
      </c>
      <c r="D699" s="85" t="s">
        <v>70</v>
      </c>
      <c r="E699" s="82"/>
      <c r="F699" s="94"/>
      <c r="G699" s="104">
        <f>SUMIF($C$7:$C$551,"=607600",$F$7:$CB$551)</f>
        <v>0</v>
      </c>
      <c r="I699" s="146">
        <f t="shared" si="40"/>
        <v>0</v>
      </c>
      <c r="J699" s="249" t="str">
        <f t="shared" si="39"/>
        <v>Achats livres, brochures, guides sportifs…</v>
      </c>
    </row>
    <row r="700" spans="2:10" ht="15" customHeight="1" thickBot="1" x14ac:dyDescent="0.3">
      <c r="B700" s="283"/>
      <c r="C700" s="95">
        <v>607700</v>
      </c>
      <c r="D700" s="85" t="s">
        <v>72</v>
      </c>
      <c r="E700" s="82"/>
      <c r="F700" s="94"/>
      <c r="G700" s="104">
        <f>SUMIF($C$7:$C$551,"=607700",$F$7:$CB$551)</f>
        <v>0</v>
      </c>
      <c r="I700" s="146">
        <f t="shared" si="40"/>
        <v>0</v>
      </c>
      <c r="J700" s="249" t="str">
        <f t="shared" si="39"/>
        <v>Achats articles de sports</v>
      </c>
    </row>
    <row r="701" spans="2:10" ht="20.149999999999999" customHeight="1" thickBot="1" x14ac:dyDescent="0.3">
      <c r="B701" s="283"/>
      <c r="C701" s="250"/>
      <c r="D701" s="300"/>
      <c r="E701" s="366" t="s">
        <v>80</v>
      </c>
      <c r="F701" s="367"/>
      <c r="G701" s="77">
        <f>SUM(G643:G700)</f>
        <v>40539.099999999991</v>
      </c>
      <c r="I701" s="146"/>
      <c r="J701" s="249">
        <f t="shared" si="39"/>
        <v>0</v>
      </c>
    </row>
    <row r="702" spans="2:10" ht="15" customHeight="1" x14ac:dyDescent="0.25">
      <c r="B702" s="283"/>
      <c r="C702" s="250"/>
      <c r="D702" s="117"/>
      <c r="E702" s="281"/>
      <c r="F702" s="281"/>
      <c r="G702" s="285"/>
      <c r="I702" s="146"/>
      <c r="J702" s="249">
        <f t="shared" si="39"/>
        <v>0</v>
      </c>
    </row>
    <row r="703" spans="2:10" ht="15" customHeight="1" thickBot="1" x14ac:dyDescent="0.3">
      <c r="B703" s="283"/>
      <c r="C703" s="250"/>
      <c r="D703" s="117"/>
      <c r="E703" s="281"/>
      <c r="F703" s="281"/>
      <c r="G703" s="285"/>
      <c r="I703" s="146"/>
      <c r="J703" s="249">
        <f t="shared" si="39"/>
        <v>0</v>
      </c>
    </row>
    <row r="704" spans="2:10" ht="20.149999999999999" customHeight="1" thickBot="1" x14ac:dyDescent="0.3">
      <c r="B704" s="283"/>
      <c r="C704" s="250"/>
      <c r="D704" s="301"/>
      <c r="E704" s="366" t="s">
        <v>81</v>
      </c>
      <c r="F704" s="367"/>
      <c r="G704" s="77">
        <f>G701</f>
        <v>40539.099999999991</v>
      </c>
      <c r="I704" s="146"/>
      <c r="J704" s="249">
        <f t="shared" si="39"/>
        <v>0</v>
      </c>
    </row>
    <row r="705" spans="2:10" ht="15" customHeight="1" x14ac:dyDescent="0.25">
      <c r="B705" s="283"/>
      <c r="C705" s="80">
        <v>613200</v>
      </c>
      <c r="D705" s="85" t="s">
        <v>167</v>
      </c>
      <c r="E705" s="82"/>
      <c r="F705" s="94"/>
      <c r="G705" s="104">
        <f>SUMIF($C$7:$C$551,"=613200",$F$7:$CB$551)</f>
        <v>0</v>
      </c>
      <c r="I705" s="146">
        <f t="shared" si="40"/>
        <v>0</v>
      </c>
      <c r="J705" s="249" t="str">
        <f t="shared" si="39"/>
        <v>Locations immobilières</v>
      </c>
    </row>
    <row r="706" spans="2:10" ht="15" customHeight="1" x14ac:dyDescent="0.25">
      <c r="B706" s="283"/>
      <c r="C706" s="84">
        <v>613500</v>
      </c>
      <c r="D706" s="85" t="s">
        <v>168</v>
      </c>
      <c r="E706" s="82"/>
      <c r="F706" s="94"/>
      <c r="G706" s="104">
        <f>SUMIF($C$7:$C$551,"=613500",$F$7:$CB$551)</f>
        <v>0</v>
      </c>
      <c r="I706" s="146">
        <f t="shared" si="40"/>
        <v>0</v>
      </c>
      <c r="J706" s="249" t="str">
        <f t="shared" si="39"/>
        <v>Locations de matériel</v>
      </c>
    </row>
    <row r="707" spans="2:10" ht="15" customHeight="1" x14ac:dyDescent="0.25">
      <c r="B707" s="283"/>
      <c r="C707" s="84">
        <v>613600</v>
      </c>
      <c r="D707" s="85" t="s">
        <v>169</v>
      </c>
      <c r="E707" s="82"/>
      <c r="F707" s="94"/>
      <c r="G707" s="104">
        <f>SUMIF($C$7:$C$551,"=613600",$F$7:$CB$551)</f>
        <v>0</v>
      </c>
      <c r="I707" s="146">
        <f t="shared" si="40"/>
        <v>0</v>
      </c>
      <c r="J707" s="249" t="str">
        <f t="shared" si="39"/>
        <v>Locations de véhicules</v>
      </c>
    </row>
    <row r="708" spans="2:10" ht="15" customHeight="1" x14ac:dyDescent="0.25">
      <c r="B708" s="283"/>
      <c r="C708" s="84"/>
      <c r="D708" s="85"/>
      <c r="E708" s="82"/>
      <c r="F708" s="82"/>
      <c r="G708" s="83"/>
      <c r="I708" s="146">
        <f t="shared" si="40"/>
        <v>0</v>
      </c>
      <c r="J708" s="249">
        <f t="shared" si="39"/>
        <v>0</v>
      </c>
    </row>
    <row r="709" spans="2:10" ht="15" customHeight="1" x14ac:dyDescent="0.25">
      <c r="B709" s="283"/>
      <c r="C709" s="84">
        <v>615200</v>
      </c>
      <c r="D709" s="85" t="s">
        <v>73</v>
      </c>
      <c r="E709" s="82"/>
      <c r="F709" s="82"/>
      <c r="G709" s="83">
        <f>SUMIF($C$7:$C$551,"=615200",$F$7:$CB$551)</f>
        <v>0</v>
      </c>
      <c r="I709" s="146">
        <f t="shared" si="40"/>
        <v>0</v>
      </c>
      <c r="J709" s="249" t="str">
        <f t="shared" si="39"/>
        <v>Entretien et réparation sur bien immobilier</v>
      </c>
    </row>
    <row r="710" spans="2:10" s="302" customFormat="1" ht="15" customHeight="1" x14ac:dyDescent="0.25">
      <c r="B710" s="283"/>
      <c r="C710" s="84">
        <v>615500</v>
      </c>
      <c r="D710" s="85" t="s">
        <v>74</v>
      </c>
      <c r="E710" s="82"/>
      <c r="F710" s="82"/>
      <c r="G710" s="83">
        <f>SUMIF($C$7:$C$551,"=615500",$F$7:$CB$551)</f>
        <v>0</v>
      </c>
      <c r="I710" s="146">
        <f t="shared" si="40"/>
        <v>0</v>
      </c>
      <c r="J710" s="249" t="str">
        <f t="shared" si="39"/>
        <v>Entretien et réparation sur bien mobilier</v>
      </c>
    </row>
    <row r="711" spans="2:10" ht="15" customHeight="1" x14ac:dyDescent="0.25">
      <c r="B711" s="283"/>
      <c r="C711" s="84">
        <v>615600</v>
      </c>
      <c r="D711" s="85" t="s">
        <v>75</v>
      </c>
      <c r="E711" s="82"/>
      <c r="F711" s="82"/>
      <c r="G711" s="83">
        <f>SUMIF($C$7:$C$551,"=615600",$F$7:$CB$551)</f>
        <v>0</v>
      </c>
      <c r="I711" s="146">
        <f t="shared" si="40"/>
        <v>0</v>
      </c>
      <c r="J711" s="249" t="str">
        <f t="shared" si="39"/>
        <v>Contrat de maintenance</v>
      </c>
    </row>
    <row r="712" spans="2:10" ht="15" customHeight="1" x14ac:dyDescent="0.25">
      <c r="B712" s="283"/>
      <c r="C712" s="84"/>
      <c r="D712" s="93"/>
      <c r="E712" s="82"/>
      <c r="F712" s="94"/>
      <c r="G712" s="83"/>
      <c r="I712" s="146">
        <f t="shared" si="40"/>
        <v>0</v>
      </c>
      <c r="J712" s="249">
        <f t="shared" si="39"/>
        <v>0</v>
      </c>
    </row>
    <row r="713" spans="2:10" ht="15" customHeight="1" x14ac:dyDescent="0.25">
      <c r="B713" s="283"/>
      <c r="C713" s="84">
        <v>616100</v>
      </c>
      <c r="D713" s="85" t="s">
        <v>76</v>
      </c>
      <c r="E713" s="82"/>
      <c r="F713" s="82"/>
      <c r="G713" s="83">
        <f>SUMIF($C$7:$C$551,"=616100",$F$7:$CB$551)</f>
        <v>0</v>
      </c>
      <c r="I713" s="146">
        <f t="shared" si="40"/>
        <v>0</v>
      </c>
      <c r="J713" s="249" t="str">
        <f t="shared" si="39"/>
        <v>Assurance Responsabilité Civile</v>
      </c>
    </row>
    <row r="714" spans="2:10" ht="15" customHeight="1" x14ac:dyDescent="0.25">
      <c r="B714" s="283"/>
      <c r="C714" s="84">
        <v>616200</v>
      </c>
      <c r="D714" s="85" t="s">
        <v>77</v>
      </c>
      <c r="E714" s="82"/>
      <c r="F714" s="82"/>
      <c r="G714" s="83">
        <f>SUMIF($C$7:$C$551,"=616200",$F$7:$CB$551)</f>
        <v>0</v>
      </c>
      <c r="I714" s="146">
        <f t="shared" si="40"/>
        <v>0</v>
      </c>
      <c r="J714" s="249" t="str">
        <f t="shared" si="39"/>
        <v>Assurance Multirisque, incendie, vol…</v>
      </c>
    </row>
    <row r="715" spans="2:10" ht="15" customHeight="1" x14ac:dyDescent="0.25">
      <c r="B715" s="283"/>
      <c r="C715" s="84">
        <v>616300</v>
      </c>
      <c r="D715" s="85" t="s">
        <v>78</v>
      </c>
      <c r="E715" s="82"/>
      <c r="F715" s="82"/>
      <c r="G715" s="83">
        <f>SUMIF($C$7:$C$551,"=616300",$F$7:$CB$551)</f>
        <v>0</v>
      </c>
      <c r="I715" s="146">
        <f t="shared" si="40"/>
        <v>0</v>
      </c>
      <c r="J715" s="249" t="str">
        <f t="shared" ref="J715:J752" si="41">D715</f>
        <v>Assurance Véhicules</v>
      </c>
    </row>
    <row r="716" spans="2:10" ht="15" customHeight="1" x14ac:dyDescent="0.25">
      <c r="B716" s="283"/>
      <c r="C716" s="84">
        <v>616800</v>
      </c>
      <c r="D716" s="85" t="s">
        <v>79</v>
      </c>
      <c r="E716" s="82"/>
      <c r="F716" s="82"/>
      <c r="G716" s="83">
        <f>SUMIF($C$7:$C$551,"=616800",$F$7:$CB$551)</f>
        <v>0</v>
      </c>
      <c r="I716" s="146">
        <f t="shared" ref="I716:I766" si="42">G716*$I$767/$G$767</f>
        <v>0</v>
      </c>
      <c r="J716" s="249" t="str">
        <f t="shared" si="41"/>
        <v>Autres assurance</v>
      </c>
    </row>
    <row r="717" spans="2:10" ht="15" customHeight="1" x14ac:dyDescent="0.25">
      <c r="B717" s="303"/>
      <c r="C717" s="86"/>
      <c r="D717" s="87"/>
      <c r="E717" s="88"/>
      <c r="F717" s="88"/>
      <c r="G717" s="89"/>
      <c r="I717" s="146">
        <f t="shared" si="42"/>
        <v>0</v>
      </c>
      <c r="J717" s="249">
        <f t="shared" si="41"/>
        <v>0</v>
      </c>
    </row>
    <row r="718" spans="2:10" ht="15" customHeight="1" x14ac:dyDescent="0.25">
      <c r="B718" s="283"/>
      <c r="C718" s="84">
        <v>618100</v>
      </c>
      <c r="D718" s="85" t="s">
        <v>82</v>
      </c>
      <c r="E718" s="82"/>
      <c r="F718" s="82"/>
      <c r="G718" s="83">
        <f>SUMIF($C$7:$C$551,"=618100",$F$7:$CB$551)</f>
        <v>0</v>
      </c>
      <c r="I718" s="146">
        <f t="shared" si="42"/>
        <v>0</v>
      </c>
      <c r="J718" s="249" t="str">
        <f t="shared" si="41"/>
        <v>Documentation générale</v>
      </c>
    </row>
    <row r="719" spans="2:10" ht="15" customHeight="1" x14ac:dyDescent="0.25">
      <c r="B719" s="283"/>
      <c r="C719" s="84">
        <v>618300</v>
      </c>
      <c r="D719" s="85" t="s">
        <v>83</v>
      </c>
      <c r="E719" s="82"/>
      <c r="F719" s="82"/>
      <c r="G719" s="83">
        <f>SUMIF($C$7:$C$551,"=618300",$F$7:$CB$551)</f>
        <v>0</v>
      </c>
      <c r="I719" s="146">
        <f t="shared" si="42"/>
        <v>0</v>
      </c>
      <c r="J719" s="249" t="str">
        <f t="shared" si="41"/>
        <v>Documentation technique</v>
      </c>
    </row>
    <row r="720" spans="2:10" ht="15" customHeight="1" x14ac:dyDescent="0.25">
      <c r="B720" s="283"/>
      <c r="C720" s="84">
        <v>618400</v>
      </c>
      <c r="D720" s="85" t="s">
        <v>136</v>
      </c>
      <c r="E720" s="82"/>
      <c r="F720" s="82"/>
      <c r="G720" s="83">
        <f>SUMIF($C$7:$C$551,"=618400",$F$7:$CB$551)</f>
        <v>0</v>
      </c>
      <c r="I720" s="146">
        <f t="shared" si="42"/>
        <v>0</v>
      </c>
      <c r="J720" s="249" t="str">
        <f t="shared" si="41"/>
        <v>Formation</v>
      </c>
    </row>
    <row r="721" spans="2:10" ht="15" customHeight="1" x14ac:dyDescent="0.25">
      <c r="B721" s="283"/>
      <c r="C721" s="84">
        <v>618500</v>
      </c>
      <c r="D721" s="85" t="s">
        <v>204</v>
      </c>
      <c r="E721" s="82"/>
      <c r="F721" s="82"/>
      <c r="G721" s="83">
        <f>SUMIF($C$7:$C$551,"=618500",$F$7:$CB$551)</f>
        <v>0</v>
      </c>
      <c r="I721" s="146">
        <f t="shared" si="42"/>
        <v>0</v>
      </c>
      <c r="J721" s="249" t="str">
        <f t="shared" si="41"/>
        <v>Frais de colloques, séminaires, conférences…</v>
      </c>
    </row>
    <row r="722" spans="2:10" ht="15" customHeight="1" x14ac:dyDescent="0.25">
      <c r="B722" s="283"/>
      <c r="C722" s="84">
        <v>621300</v>
      </c>
      <c r="D722" s="85" t="s">
        <v>205</v>
      </c>
      <c r="E722" s="82"/>
      <c r="F722" s="82"/>
      <c r="G722" s="83">
        <f>SUMIF($C$7:$C$551,"=621300",$F$7:$CB$551)</f>
        <v>0</v>
      </c>
      <c r="I722" s="146">
        <f t="shared" si="42"/>
        <v>0</v>
      </c>
      <c r="J722" s="249" t="str">
        <f t="shared" si="41"/>
        <v>Frais d'arbitrage</v>
      </c>
    </row>
    <row r="723" spans="2:10" ht="15" customHeight="1" x14ac:dyDescent="0.25">
      <c r="B723" s="283"/>
      <c r="C723" s="84">
        <v>622610</v>
      </c>
      <c r="D723" s="85" t="s">
        <v>85</v>
      </c>
      <c r="E723" s="82"/>
      <c r="F723" s="82"/>
      <c r="G723" s="83">
        <f>SUMIF($C$7:$C$551,"=622610",$F$7:$CB$551)</f>
        <v>1320</v>
      </c>
      <c r="I723" s="146">
        <f t="shared" si="42"/>
        <v>2.8968821866544592E-2</v>
      </c>
      <c r="J723" s="249" t="str">
        <f t="shared" si="41"/>
        <v>Expert-comptable</v>
      </c>
    </row>
    <row r="724" spans="2:10" ht="15" customHeight="1" x14ac:dyDescent="0.25">
      <c r="B724" s="283"/>
      <c r="C724" s="84">
        <v>622620</v>
      </c>
      <c r="D724" s="85" t="s">
        <v>86</v>
      </c>
      <c r="E724" s="82"/>
      <c r="F724" s="82"/>
      <c r="G724" s="83">
        <f>SUMIF($C$7:$C$551,"=622620",$F$7:$CB$551)</f>
        <v>0</v>
      </c>
      <c r="I724" s="146">
        <f t="shared" si="42"/>
        <v>0</v>
      </c>
      <c r="J724" s="249" t="str">
        <f t="shared" si="41"/>
        <v>Avocat</v>
      </c>
    </row>
    <row r="725" spans="2:10" ht="15" customHeight="1" x14ac:dyDescent="0.25">
      <c r="B725" s="283"/>
      <c r="C725" s="84">
        <v>622630</v>
      </c>
      <c r="D725" s="91" t="s">
        <v>87</v>
      </c>
      <c r="E725" s="82"/>
      <c r="F725" s="82"/>
      <c r="G725" s="83">
        <f>SUMIF($C$7:$C$551,"=622630",$F$7:$CB$551)</f>
        <v>0</v>
      </c>
      <c r="I725" s="146">
        <f t="shared" si="42"/>
        <v>0</v>
      </c>
      <c r="J725" s="249" t="str">
        <f t="shared" si="41"/>
        <v>Médecins et kinés</v>
      </c>
    </row>
    <row r="726" spans="2:10" ht="15" customHeight="1" x14ac:dyDescent="0.25">
      <c r="B726" s="283"/>
      <c r="C726" s="84">
        <v>622640</v>
      </c>
      <c r="D726" s="85" t="s">
        <v>88</v>
      </c>
      <c r="E726" s="82"/>
      <c r="F726" s="82"/>
      <c r="G726" s="83">
        <f>SUMIF($C$7:$C$551,"=622640",$F$7:$CB$551)</f>
        <v>3569.5</v>
      </c>
      <c r="I726" s="146">
        <f t="shared" si="42"/>
        <v>7.8336522464114336E-2</v>
      </c>
      <c r="J726" s="249" t="str">
        <f t="shared" si="41"/>
        <v>Autres honoraires</v>
      </c>
    </row>
    <row r="727" spans="2:10" ht="15" customHeight="1" x14ac:dyDescent="0.25">
      <c r="B727" s="283"/>
      <c r="C727" s="84">
        <v>622700</v>
      </c>
      <c r="D727" s="85" t="s">
        <v>89</v>
      </c>
      <c r="E727" s="82"/>
      <c r="F727" s="82"/>
      <c r="G727" s="83">
        <f>SUMIF($C$7:$C$551,"=622700",$F$7:$CB$551)</f>
        <v>0</v>
      </c>
      <c r="I727" s="146">
        <f t="shared" si="42"/>
        <v>0</v>
      </c>
      <c r="J727" s="249" t="str">
        <f t="shared" si="41"/>
        <v>Frais d'actes et de contentieux</v>
      </c>
    </row>
    <row r="728" spans="2:10" ht="15" customHeight="1" x14ac:dyDescent="0.25">
      <c r="B728" s="283"/>
      <c r="C728" s="84"/>
      <c r="D728" s="85"/>
      <c r="E728" s="82"/>
      <c r="F728" s="82"/>
      <c r="G728" s="90"/>
      <c r="I728" s="146">
        <f t="shared" si="42"/>
        <v>0</v>
      </c>
      <c r="J728" s="249">
        <f t="shared" si="41"/>
        <v>0</v>
      </c>
    </row>
    <row r="729" spans="2:10" ht="15" customHeight="1" x14ac:dyDescent="0.25">
      <c r="B729" s="283"/>
      <c r="C729" s="84">
        <v>623100</v>
      </c>
      <c r="D729" s="85" t="s">
        <v>90</v>
      </c>
      <c r="E729" s="82"/>
      <c r="F729" s="82"/>
      <c r="G729" s="83">
        <f>SUMIF($C$7:$C$551,"=623100",$F$7:$CB$551)</f>
        <v>0</v>
      </c>
      <c r="I729" s="146">
        <f t="shared" si="42"/>
        <v>0</v>
      </c>
      <c r="J729" s="249" t="str">
        <f t="shared" si="41"/>
        <v>Annonces et insertions</v>
      </c>
    </row>
    <row r="730" spans="2:10" ht="15" customHeight="1" x14ac:dyDescent="0.25">
      <c r="B730" s="283"/>
      <c r="C730" s="84">
        <v>623300</v>
      </c>
      <c r="D730" s="85" t="s">
        <v>91</v>
      </c>
      <c r="E730" s="82"/>
      <c r="F730" s="82"/>
      <c r="G730" s="83">
        <f>SUMIF($C$7:$C$551,"=623300",$F$7:$CB$551)</f>
        <v>0</v>
      </c>
      <c r="I730" s="146">
        <f t="shared" si="42"/>
        <v>0</v>
      </c>
      <c r="J730" s="249" t="str">
        <f t="shared" si="41"/>
        <v>Expositions</v>
      </c>
    </row>
    <row r="731" spans="2:10" ht="15" customHeight="1" x14ac:dyDescent="0.25">
      <c r="B731" s="283"/>
      <c r="C731" s="84">
        <v>623600</v>
      </c>
      <c r="D731" s="85" t="s">
        <v>92</v>
      </c>
      <c r="E731" s="82"/>
      <c r="F731" s="82"/>
      <c r="G731" s="83">
        <f>SUMIF($C$7:$C$551,"=623600",$F$7:$CB$551)</f>
        <v>0</v>
      </c>
      <c r="I731" s="146">
        <f t="shared" si="42"/>
        <v>0</v>
      </c>
      <c r="J731" s="249" t="str">
        <f t="shared" si="41"/>
        <v>Dépliants et imprimés</v>
      </c>
    </row>
    <row r="732" spans="2:10" ht="15" customHeight="1" x14ac:dyDescent="0.25">
      <c r="B732" s="283"/>
      <c r="C732" s="84">
        <v>623700</v>
      </c>
      <c r="D732" s="85" t="s">
        <v>93</v>
      </c>
      <c r="E732" s="82"/>
      <c r="F732" s="82"/>
      <c r="G732" s="83">
        <f>SUMIF($C$7:$C$551,"=623700",$F$7:$CB$551)</f>
        <v>0</v>
      </c>
      <c r="I732" s="146">
        <f t="shared" si="42"/>
        <v>0</v>
      </c>
      <c r="J732" s="249" t="str">
        <f t="shared" si="41"/>
        <v>Publications</v>
      </c>
    </row>
    <row r="733" spans="2:10" ht="15" customHeight="1" x14ac:dyDescent="0.25">
      <c r="B733" s="283"/>
      <c r="C733" s="84"/>
      <c r="D733" s="85"/>
      <c r="E733" s="82"/>
      <c r="F733" s="82"/>
      <c r="G733" s="90"/>
      <c r="I733" s="146">
        <f t="shared" si="42"/>
        <v>0</v>
      </c>
      <c r="J733" s="249">
        <f t="shared" si="41"/>
        <v>0</v>
      </c>
    </row>
    <row r="734" spans="2:10" ht="15" customHeight="1" x14ac:dyDescent="0.25">
      <c r="B734" s="283"/>
      <c r="C734" s="84">
        <v>625111</v>
      </c>
      <c r="D734" s="85" t="s">
        <v>94</v>
      </c>
      <c r="E734" s="82"/>
      <c r="F734" s="82"/>
      <c r="G734" s="83">
        <f>SUMIF($C$7:$C$551,"=625111",$F$7:$CB$551)</f>
        <v>0</v>
      </c>
      <c r="I734" s="146">
        <f t="shared" si="42"/>
        <v>0</v>
      </c>
      <c r="J734" s="249" t="str">
        <f t="shared" si="41"/>
        <v>Déplacements sports collectifs niveau national et +</v>
      </c>
    </row>
    <row r="735" spans="2:10" ht="15" customHeight="1" x14ac:dyDescent="0.25">
      <c r="B735" s="283"/>
      <c r="C735" s="84">
        <v>625112</v>
      </c>
      <c r="D735" s="85" t="s">
        <v>95</v>
      </c>
      <c r="E735" s="82"/>
      <c r="F735" s="82"/>
      <c r="G735" s="83">
        <f>SUMIF($C$7:$C$551,"=625112",$F$7:$CB$551)</f>
        <v>0</v>
      </c>
      <c r="I735" s="146">
        <f t="shared" si="42"/>
        <v>0</v>
      </c>
      <c r="J735" s="249" t="str">
        <f t="shared" si="41"/>
        <v>Déplacements sports collectifs niveau régional et -</v>
      </c>
    </row>
    <row r="736" spans="2:10" ht="15" customHeight="1" x14ac:dyDescent="0.25">
      <c r="B736" s="283"/>
      <c r="C736" s="84">
        <v>625121</v>
      </c>
      <c r="D736" s="85" t="s">
        <v>96</v>
      </c>
      <c r="E736" s="82"/>
      <c r="F736" s="82"/>
      <c r="G736" s="83">
        <f>SUMIF($C$7:$C$551,"=625121",$F$7:$CB$551)</f>
        <v>0</v>
      </c>
      <c r="I736" s="146">
        <f t="shared" si="42"/>
        <v>0</v>
      </c>
      <c r="J736" s="249" t="str">
        <f t="shared" si="41"/>
        <v>Déplacements sports individuels niveau national et +</v>
      </c>
    </row>
    <row r="737" spans="2:10" ht="15" customHeight="1" x14ac:dyDescent="0.25">
      <c r="B737" s="283"/>
      <c r="C737" s="84">
        <v>625122</v>
      </c>
      <c r="D737" s="85" t="s">
        <v>97</v>
      </c>
      <c r="E737" s="82"/>
      <c r="F737" s="82"/>
      <c r="G737" s="83">
        <f>SUMIF($C$7:$C$551,"=625122",$F$7:$CB$551)</f>
        <v>0</v>
      </c>
      <c r="I737" s="146">
        <f t="shared" si="42"/>
        <v>0</v>
      </c>
      <c r="J737" s="249" t="str">
        <f t="shared" si="41"/>
        <v>Déplacements sports individuels niveau régional et -</v>
      </c>
    </row>
    <row r="738" spans="2:10" ht="15" customHeight="1" x14ac:dyDescent="0.25">
      <c r="B738" s="283"/>
      <c r="C738" s="84">
        <v>625130</v>
      </c>
      <c r="D738" s="85" t="s">
        <v>22</v>
      </c>
      <c r="E738" s="82"/>
      <c r="F738" s="82"/>
      <c r="G738" s="83">
        <f>SUMIF($C$7:$C$551,"=625130",$F$7:$CB$551)</f>
        <v>0</v>
      </c>
      <c r="I738" s="146">
        <f t="shared" si="42"/>
        <v>0</v>
      </c>
      <c r="J738" s="249" t="str">
        <f t="shared" si="41"/>
        <v>Stages</v>
      </c>
    </row>
    <row r="739" spans="2:10" ht="15" customHeight="1" x14ac:dyDescent="0.25">
      <c r="B739" s="283"/>
      <c r="C739" s="84">
        <v>625140</v>
      </c>
      <c r="D739" s="85" t="s">
        <v>98</v>
      </c>
      <c r="E739" s="82"/>
      <c r="F739" s="82"/>
      <c r="G739" s="83">
        <f>SUMIF($C$7:$C$551,"=625140",$F$7:$CB$551)</f>
        <v>0</v>
      </c>
      <c r="I739" s="146">
        <f t="shared" si="42"/>
        <v>0</v>
      </c>
      <c r="J739" s="249" t="str">
        <f t="shared" si="41"/>
        <v>Déplacements du personnel</v>
      </c>
    </row>
    <row r="740" spans="2:10" ht="15" customHeight="1" x14ac:dyDescent="0.25">
      <c r="B740" s="283"/>
      <c r="C740" s="84">
        <v>625600</v>
      </c>
      <c r="D740" s="85" t="s">
        <v>99</v>
      </c>
      <c r="E740" s="82"/>
      <c r="F740" s="82"/>
      <c r="G740" s="83">
        <f>SUMIF($C$7:$C$551,"=625600",$F$7:$CB$551)</f>
        <v>0</v>
      </c>
      <c r="I740" s="146">
        <f t="shared" si="42"/>
        <v>0</v>
      </c>
      <c r="J740" s="249" t="str">
        <f t="shared" si="41"/>
        <v>Missions</v>
      </c>
    </row>
    <row r="741" spans="2:10" ht="15" customHeight="1" x14ac:dyDescent="0.25">
      <c r="B741" s="283"/>
      <c r="C741" s="84">
        <v>625700</v>
      </c>
      <c r="D741" s="85" t="s">
        <v>100</v>
      </c>
      <c r="E741" s="82"/>
      <c r="F741" s="82"/>
      <c r="G741" s="83">
        <f>SUMIF($C$7:$C$551,"=625700",$F$7:$CB$551)</f>
        <v>0</v>
      </c>
      <c r="I741" s="146">
        <f t="shared" si="42"/>
        <v>0</v>
      </c>
      <c r="J741" s="249" t="str">
        <f t="shared" si="41"/>
        <v>Réceptions</v>
      </c>
    </row>
    <row r="742" spans="2:10" ht="15" customHeight="1" x14ac:dyDescent="0.25">
      <c r="B742" s="283"/>
      <c r="C742" s="84">
        <v>625900</v>
      </c>
      <c r="D742" s="85" t="s">
        <v>101</v>
      </c>
      <c r="E742" s="82"/>
      <c r="F742" s="82"/>
      <c r="G742" s="83">
        <f>SUMIF($C$7:$C$551,"=625900",$F$7:$CB$551)</f>
        <v>0</v>
      </c>
      <c r="I742" s="146">
        <f t="shared" si="42"/>
        <v>0</v>
      </c>
      <c r="J742" s="249" t="str">
        <f t="shared" si="41"/>
        <v>Déplacements des bénévoles</v>
      </c>
    </row>
    <row r="743" spans="2:10" ht="15" customHeight="1" x14ac:dyDescent="0.25">
      <c r="B743" s="283"/>
      <c r="C743" s="84"/>
      <c r="D743" s="85"/>
      <c r="E743" s="82"/>
      <c r="F743" s="82"/>
      <c r="G743" s="90"/>
      <c r="I743" s="146">
        <f t="shared" si="42"/>
        <v>0</v>
      </c>
      <c r="J743" s="249">
        <f t="shared" si="41"/>
        <v>0</v>
      </c>
    </row>
    <row r="744" spans="2:10" ht="15" customHeight="1" x14ac:dyDescent="0.25">
      <c r="B744" s="283"/>
      <c r="C744" s="84">
        <v>626100</v>
      </c>
      <c r="D744" s="85" t="s">
        <v>102</v>
      </c>
      <c r="E744" s="82"/>
      <c r="F744" s="82"/>
      <c r="G744" s="83">
        <f>SUMIF($C$7:$C$551,"=626100",$F$7:$CB$551)</f>
        <v>8.8000000000000007</v>
      </c>
      <c r="I744" s="146">
        <f t="shared" si="42"/>
        <v>1.931254791102973E-4</v>
      </c>
      <c r="J744" s="249" t="str">
        <f t="shared" si="41"/>
        <v>Affranchissements</v>
      </c>
    </row>
    <row r="745" spans="2:10" ht="15" customHeight="1" x14ac:dyDescent="0.25">
      <c r="B745" s="283"/>
      <c r="C745" s="84">
        <v>626200</v>
      </c>
      <c r="D745" s="85" t="s">
        <v>103</v>
      </c>
      <c r="E745" s="82"/>
      <c r="F745" s="82"/>
      <c r="G745" s="83">
        <f>SUMIF($C$7:$C$551,"=626200",$F$7:$CB$551)</f>
        <v>113.07999999999998</v>
      </c>
      <c r="I745" s="146">
        <f t="shared" si="42"/>
        <v>2.4816624065673197E-3</v>
      </c>
      <c r="J745" s="249" t="str">
        <f t="shared" si="41"/>
        <v>Téléphone</v>
      </c>
    </row>
    <row r="746" spans="2:10" ht="15" customHeight="1" x14ac:dyDescent="0.25">
      <c r="B746" s="283"/>
      <c r="C746" s="84"/>
      <c r="D746" s="85"/>
      <c r="E746" s="82"/>
      <c r="F746" s="82"/>
      <c r="G746" s="90"/>
      <c r="I746" s="146">
        <f t="shared" si="42"/>
        <v>0</v>
      </c>
      <c r="J746" s="249">
        <f t="shared" si="41"/>
        <v>0</v>
      </c>
    </row>
    <row r="747" spans="2:10" ht="15" customHeight="1" x14ac:dyDescent="0.25">
      <c r="B747" s="283"/>
      <c r="C747" s="84">
        <v>627800</v>
      </c>
      <c r="D747" s="85" t="s">
        <v>104</v>
      </c>
      <c r="E747" s="82"/>
      <c r="F747" s="82"/>
      <c r="G747" s="83">
        <f>SUMIF($C$7:$C$551,"=627800",$F$7:$CB$551)</f>
        <v>15.75</v>
      </c>
      <c r="I747" s="146">
        <f t="shared" si="42"/>
        <v>3.4565071545308889E-4</v>
      </c>
      <c r="J747" s="249" t="str">
        <f t="shared" si="41"/>
        <v>Frais et commissions sur services bancaires</v>
      </c>
    </row>
    <row r="748" spans="2:10" ht="15" customHeight="1" x14ac:dyDescent="0.25">
      <c r="B748" s="283"/>
      <c r="C748" s="84">
        <v>635400</v>
      </c>
      <c r="D748" s="85" t="s">
        <v>111</v>
      </c>
      <c r="E748" s="82"/>
      <c r="F748" s="82"/>
      <c r="G748" s="83">
        <f>SUMIF($C$7:$C$551,"=635400",$F$7:$CB$551)</f>
        <v>0</v>
      </c>
      <c r="I748" s="146">
        <f t="shared" si="42"/>
        <v>0</v>
      </c>
      <c r="J748" s="249" t="str">
        <f t="shared" si="41"/>
        <v>Droits d'enregistrement et timbres</v>
      </c>
    </row>
    <row r="749" spans="2:10" ht="15" customHeight="1" x14ac:dyDescent="0.25">
      <c r="B749" s="283"/>
      <c r="C749" s="84">
        <v>637500</v>
      </c>
      <c r="D749" s="85" t="s">
        <v>112</v>
      </c>
      <c r="E749" s="82"/>
      <c r="F749" s="82"/>
      <c r="G749" s="83">
        <f>SUMIF($C$7:$C$551,"=637500",$F$7:$CB$551)</f>
        <v>0</v>
      </c>
      <c r="I749" s="146">
        <f t="shared" si="42"/>
        <v>0</v>
      </c>
      <c r="J749" s="249" t="str">
        <f t="shared" si="41"/>
        <v>Sacem</v>
      </c>
    </row>
    <row r="750" spans="2:10" ht="15" customHeight="1" x14ac:dyDescent="0.25">
      <c r="B750" s="283"/>
      <c r="C750" s="84"/>
      <c r="D750" s="85"/>
      <c r="E750" s="82"/>
      <c r="F750" s="82"/>
      <c r="G750" s="90"/>
      <c r="I750" s="146">
        <f t="shared" si="42"/>
        <v>0</v>
      </c>
      <c r="J750" s="249">
        <f t="shared" si="41"/>
        <v>0</v>
      </c>
    </row>
    <row r="751" spans="2:10" ht="15" customHeight="1" x14ac:dyDescent="0.25">
      <c r="B751" s="283"/>
      <c r="C751" s="84">
        <v>164000</v>
      </c>
      <c r="D751" s="85" t="s">
        <v>164</v>
      </c>
      <c r="E751" s="82"/>
      <c r="F751" s="82"/>
      <c r="G751" s="83">
        <f>SUMIF($C$7:$C$551,"=164000",$F$7:$CB$551)</f>
        <v>0</v>
      </c>
      <c r="I751" s="146">
        <f t="shared" si="42"/>
        <v>0</v>
      </c>
      <c r="J751" s="249" t="str">
        <f t="shared" si="41"/>
        <v>Emprunt remboursement du capital</v>
      </c>
    </row>
    <row r="752" spans="2:10" ht="15" customHeight="1" thickBot="1" x14ac:dyDescent="0.3">
      <c r="B752" s="283"/>
      <c r="C752" s="95">
        <v>275100</v>
      </c>
      <c r="D752" s="85" t="s">
        <v>166</v>
      </c>
      <c r="E752" s="82"/>
      <c r="F752" s="82"/>
      <c r="G752" s="83">
        <f>SUMIF($C$7:$C$551,"=275100",$F$7:$CB$551)</f>
        <v>0</v>
      </c>
      <c r="I752" s="146">
        <f t="shared" si="42"/>
        <v>0</v>
      </c>
      <c r="J752" s="249" t="str">
        <f t="shared" si="41"/>
        <v>Dépôt de garantie</v>
      </c>
    </row>
    <row r="753" spans="2:10" ht="20.149999999999999" customHeight="1" thickBot="1" x14ac:dyDescent="0.3">
      <c r="B753" s="283"/>
      <c r="C753" s="250"/>
      <c r="D753" s="300"/>
      <c r="E753" s="366" t="s">
        <v>80</v>
      </c>
      <c r="F753" s="367"/>
      <c r="G753" s="77">
        <f>SUM(G704:G752)</f>
        <v>45566.229999999996</v>
      </c>
      <c r="I753" s="146"/>
    </row>
    <row r="754" spans="2:10" ht="15" customHeight="1" x14ac:dyDescent="0.25">
      <c r="B754" s="283"/>
      <c r="C754" s="250"/>
      <c r="D754" s="117"/>
      <c r="E754" s="281"/>
      <c r="F754" s="281"/>
      <c r="G754" s="285"/>
      <c r="I754" s="146"/>
      <c r="J754" s="249">
        <f t="shared" ref="J754:J755" si="43">D754</f>
        <v>0</v>
      </c>
    </row>
    <row r="755" spans="2:10" ht="15" customHeight="1" thickBot="1" x14ac:dyDescent="0.3">
      <c r="B755" s="283"/>
      <c r="C755" s="250"/>
      <c r="D755" s="117"/>
      <c r="E755" s="281"/>
      <c r="F755" s="281"/>
      <c r="G755" s="285"/>
      <c r="I755" s="146"/>
      <c r="J755" s="249">
        <f t="shared" si="43"/>
        <v>0</v>
      </c>
    </row>
    <row r="756" spans="2:10" ht="20.149999999999999" customHeight="1" thickBot="1" x14ac:dyDescent="0.3">
      <c r="B756" s="283"/>
      <c r="C756" s="250"/>
      <c r="D756" s="301"/>
      <c r="E756" s="366" t="s">
        <v>81</v>
      </c>
      <c r="F756" s="367"/>
      <c r="G756" s="77">
        <f>G753</f>
        <v>45566.229999999996</v>
      </c>
      <c r="I756" s="146"/>
    </row>
    <row r="757" spans="2:10" ht="15" customHeight="1" x14ac:dyDescent="0.25">
      <c r="B757" s="283"/>
      <c r="C757" s="80"/>
      <c r="D757" s="85"/>
      <c r="E757" s="82"/>
      <c r="F757" s="82"/>
      <c r="G757" s="92"/>
      <c r="I757" s="146">
        <f t="shared" si="42"/>
        <v>0</v>
      </c>
      <c r="J757" s="249">
        <f t="shared" ref="J757:J766" si="44">D757</f>
        <v>0</v>
      </c>
    </row>
    <row r="758" spans="2:10" ht="15" customHeight="1" x14ac:dyDescent="0.25">
      <c r="B758" s="283"/>
      <c r="C758" s="84">
        <v>661100</v>
      </c>
      <c r="D758" s="85" t="s">
        <v>113</v>
      </c>
      <c r="E758" s="82"/>
      <c r="F758" s="82"/>
      <c r="G758" s="83">
        <f>SUMIF($C$7:$C$551,"=661100",$F$7:$CB$551)</f>
        <v>0</v>
      </c>
      <c r="I758" s="146">
        <f t="shared" si="42"/>
        <v>0</v>
      </c>
      <c r="J758" s="249" t="str">
        <f t="shared" si="44"/>
        <v>Intérêts sur emprunts</v>
      </c>
    </row>
    <row r="759" spans="2:10" ht="15" customHeight="1" x14ac:dyDescent="0.25">
      <c r="B759" s="283"/>
      <c r="C759" s="84">
        <v>661600</v>
      </c>
      <c r="D759" s="93" t="s">
        <v>114</v>
      </c>
      <c r="E759" s="82"/>
      <c r="F759" s="94"/>
      <c r="G759" s="83">
        <f>SUMIF($C$7:$C$551,"=661600",$F$7:$CB$551)</f>
        <v>0</v>
      </c>
      <c r="I759" s="146">
        <f t="shared" si="42"/>
        <v>0</v>
      </c>
      <c r="J759" s="249" t="str">
        <f t="shared" si="44"/>
        <v>Intérêts bancaires</v>
      </c>
    </row>
    <row r="760" spans="2:10" ht="15" customHeight="1" x14ac:dyDescent="0.25">
      <c r="B760" s="283"/>
      <c r="C760" s="84"/>
      <c r="D760" s="85"/>
      <c r="E760" s="82"/>
      <c r="F760" s="82"/>
      <c r="G760" s="92"/>
      <c r="I760" s="146">
        <f t="shared" si="42"/>
        <v>0</v>
      </c>
      <c r="J760" s="249">
        <f t="shared" si="44"/>
        <v>0</v>
      </c>
    </row>
    <row r="761" spans="2:10" ht="15" customHeight="1" x14ac:dyDescent="0.25">
      <c r="B761" s="283"/>
      <c r="C761" s="84">
        <v>681510</v>
      </c>
      <c r="D761" s="85" t="s">
        <v>122</v>
      </c>
      <c r="E761" s="82"/>
      <c r="F761" s="82"/>
      <c r="G761" s="83">
        <f>SUMIF($C$7:$C$551,"=681510",$F$7:$CB$551)</f>
        <v>0</v>
      </c>
      <c r="I761" s="146">
        <f t="shared" si="42"/>
        <v>0</v>
      </c>
      <c r="J761" s="249" t="str">
        <f t="shared" si="44"/>
        <v>Dotations aux provisions pour achat de matériel</v>
      </c>
    </row>
    <row r="762" spans="2:10" ht="15" customHeight="1" x14ac:dyDescent="0.25">
      <c r="B762" s="283"/>
      <c r="C762" s="84">
        <v>681530</v>
      </c>
      <c r="D762" s="85" t="s">
        <v>121</v>
      </c>
      <c r="E762" s="82"/>
      <c r="F762" s="82"/>
      <c r="G762" s="83">
        <f>SUMIF($C$7:$C$551,"=681530",$F$7:$CB$551)</f>
        <v>0</v>
      </c>
      <c r="I762" s="146">
        <f t="shared" si="42"/>
        <v>0</v>
      </c>
      <c r="J762" s="249" t="str">
        <f t="shared" si="44"/>
        <v>Dotations aux provisions pour organisation de manifestation</v>
      </c>
    </row>
    <row r="763" spans="2:10" ht="15" customHeight="1" x14ac:dyDescent="0.25">
      <c r="B763" s="283"/>
      <c r="C763" s="84">
        <v>681540</v>
      </c>
      <c r="D763" s="93" t="s">
        <v>123</v>
      </c>
      <c r="E763" s="82"/>
      <c r="F763" s="94"/>
      <c r="G763" s="83">
        <f>SUMIF($C$7:$C$551,"=681540",$F$7:$CB$551)</f>
        <v>0</v>
      </c>
      <c r="I763" s="146">
        <f t="shared" si="42"/>
        <v>0</v>
      </c>
      <c r="J763" s="249" t="str">
        <f t="shared" si="44"/>
        <v>Dotations aux provisions pour charges de personnel</v>
      </c>
    </row>
    <row r="764" spans="2:10" ht="15" customHeight="1" x14ac:dyDescent="0.25">
      <c r="B764" s="283"/>
      <c r="C764" s="84">
        <v>681550</v>
      </c>
      <c r="D764" s="93" t="s">
        <v>207</v>
      </c>
      <c r="E764" s="82"/>
      <c r="F764" s="94"/>
      <c r="G764" s="83">
        <f>SUMIF($C$7:$C$551,"=681550",$F$7:$CB$551)</f>
        <v>0</v>
      </c>
      <c r="I764" s="146">
        <f t="shared" si="42"/>
        <v>0</v>
      </c>
      <c r="J764" s="249" t="str">
        <f t="shared" si="44"/>
        <v>Dotations aux provisons pour trésorerie saison N+1</v>
      </c>
    </row>
    <row r="765" spans="2:10" ht="15" customHeight="1" x14ac:dyDescent="0.25">
      <c r="B765" s="283"/>
      <c r="C765" s="95">
        <v>681560</v>
      </c>
      <c r="D765" s="96" t="s">
        <v>206</v>
      </c>
      <c r="E765" s="97"/>
      <c r="F765" s="98"/>
      <c r="G765" s="99">
        <f>SUMIF($C$7:$C$551,"=681560",$F$7:$CB$551)</f>
        <v>0</v>
      </c>
      <c r="I765" s="146">
        <f t="shared" si="42"/>
        <v>0</v>
      </c>
      <c r="J765" s="249" t="str">
        <f t="shared" si="44"/>
        <v>Dot. Aux prov. Pr subv. Section saison N non versées</v>
      </c>
    </row>
    <row r="766" spans="2:10" ht="12" customHeight="1" thickBot="1" x14ac:dyDescent="0.3">
      <c r="B766" s="283"/>
      <c r="C766" s="250"/>
      <c r="D766" s="117"/>
      <c r="E766" s="281"/>
      <c r="F766" s="281"/>
      <c r="G766" s="282"/>
      <c r="I766" s="146">
        <f t="shared" si="42"/>
        <v>0</v>
      </c>
      <c r="J766" s="249">
        <f t="shared" si="44"/>
        <v>0</v>
      </c>
    </row>
    <row r="767" spans="2:10" ht="20.149999999999999" customHeight="1" thickBot="1" x14ac:dyDescent="0.3">
      <c r="B767" s="283"/>
      <c r="C767" s="250"/>
      <c r="D767" s="287"/>
      <c r="E767" s="364" t="s">
        <v>0</v>
      </c>
      <c r="F767" s="365"/>
      <c r="G767" s="107">
        <f>SUM(G756:G765)</f>
        <v>45566.229999999996</v>
      </c>
      <c r="I767" s="160">
        <v>1</v>
      </c>
    </row>
    <row r="768" spans="2:10" ht="12" customHeight="1" thickBot="1" x14ac:dyDescent="0.3">
      <c r="B768" s="289"/>
      <c r="C768" s="272"/>
      <c r="D768" s="187"/>
      <c r="E768" s="275"/>
      <c r="F768" s="275"/>
      <c r="G768" s="304"/>
    </row>
    <row r="769" spans="2:7" ht="13" thickBot="1" x14ac:dyDescent="0.3">
      <c r="B769" s="296"/>
      <c r="C769" s="296"/>
      <c r="E769" s="305"/>
      <c r="F769" s="305"/>
      <c r="G769" s="305"/>
    </row>
    <row r="770" spans="2:7" x14ac:dyDescent="0.25">
      <c r="B770" s="296"/>
      <c r="C770" s="306"/>
      <c r="D770" s="307"/>
      <c r="E770" s="307"/>
      <c r="F770" s="308"/>
      <c r="G770" s="305"/>
    </row>
    <row r="771" spans="2:7" ht="13" x14ac:dyDescent="0.25">
      <c r="B771" s="296"/>
      <c r="C771" s="309"/>
      <c r="D771" s="310" t="s">
        <v>117</v>
      </c>
      <c r="E771" s="310"/>
      <c r="F771" s="311"/>
      <c r="G771" s="305"/>
    </row>
    <row r="772" spans="2:7" ht="13" x14ac:dyDescent="0.25">
      <c r="B772" s="296"/>
      <c r="C772" s="312"/>
      <c r="D772" s="310"/>
      <c r="E772" s="310"/>
      <c r="F772" s="311"/>
      <c r="G772" s="305"/>
    </row>
    <row r="773" spans="2:7" ht="13" x14ac:dyDescent="0.25">
      <c r="B773" s="296"/>
      <c r="C773" s="313" t="s">
        <v>150</v>
      </c>
      <c r="D773" s="85" t="s">
        <v>124</v>
      </c>
      <c r="E773" s="314">
        <f>IF(G636-G767&gt;0,G636-G767," ")</f>
        <v>1052.4400000000096</v>
      </c>
      <c r="F773" s="315"/>
      <c r="G773" s="305"/>
    </row>
    <row r="774" spans="2:7" ht="13" x14ac:dyDescent="0.25">
      <c r="B774" s="296"/>
      <c r="C774" s="313" t="s">
        <v>151</v>
      </c>
      <c r="D774" s="85" t="s">
        <v>125</v>
      </c>
      <c r="E774" s="314" t="str">
        <f>IF(G636-G767&lt;0,G636-G767," ")</f>
        <v xml:space="preserve"> </v>
      </c>
      <c r="F774" s="315"/>
      <c r="G774" s="305"/>
    </row>
    <row r="775" spans="2:7" ht="13" x14ac:dyDescent="0.25">
      <c r="B775" s="296"/>
      <c r="C775" s="313"/>
      <c r="D775" s="85"/>
      <c r="E775" s="316"/>
      <c r="F775" s="315"/>
      <c r="G775" s="305"/>
    </row>
    <row r="776" spans="2:7" ht="13" x14ac:dyDescent="0.25">
      <c r="B776" s="296"/>
      <c r="C776" s="313"/>
      <c r="D776" s="85" t="s">
        <v>165</v>
      </c>
      <c r="E776" s="314">
        <f>G558</f>
        <v>0</v>
      </c>
      <c r="F776" s="315"/>
      <c r="G776" s="305"/>
    </row>
    <row r="777" spans="2:7" ht="13" thickBot="1" x14ac:dyDescent="0.3">
      <c r="B777" s="296"/>
      <c r="C777" s="317"/>
      <c r="D777" s="318"/>
      <c r="E777" s="319"/>
      <c r="F777" s="320"/>
      <c r="G777" s="305"/>
    </row>
    <row r="778" spans="2:7" x14ac:dyDescent="0.25">
      <c r="B778" s="296"/>
      <c r="C778" s="292"/>
      <c r="D778" s="321"/>
      <c r="E778" s="294"/>
      <c r="F778" s="294"/>
      <c r="G778" s="305"/>
    </row>
    <row r="780" spans="2:7" x14ac:dyDescent="0.25">
      <c r="E780" s="288"/>
    </row>
  </sheetData>
  <autoFilter ref="B6:G554" xr:uid="{00000000-0009-0000-0000-000000000000}"/>
  <sortState xmlns:xlrd2="http://schemas.microsoft.com/office/spreadsheetml/2017/richdata2" ref="B245:F252">
    <sortCondition ref="B245:B252"/>
  </sortState>
  <mergeCells count="22">
    <mergeCell ref="P290:P299"/>
    <mergeCell ref="D556:F556"/>
    <mergeCell ref="D557:F557"/>
    <mergeCell ref="E767:F767"/>
    <mergeCell ref="E636:F636"/>
    <mergeCell ref="E612:F612"/>
    <mergeCell ref="E615:F615"/>
    <mergeCell ref="E701:F701"/>
    <mergeCell ref="E704:F704"/>
    <mergeCell ref="E753:F753"/>
    <mergeCell ref="E756:F756"/>
    <mergeCell ref="E561:F561"/>
    <mergeCell ref="C561:D561"/>
    <mergeCell ref="B564:G564"/>
    <mergeCell ref="B640:G641"/>
    <mergeCell ref="D558:F558"/>
    <mergeCell ref="H4:H5"/>
    <mergeCell ref="E2:F2"/>
    <mergeCell ref="B552:C552"/>
    <mergeCell ref="B553:C553"/>
    <mergeCell ref="B554:C554"/>
    <mergeCell ref="B2:D2"/>
  </mergeCells>
  <phoneticPr fontId="0" type="noConversion"/>
  <conditionalFormatting sqref="D554">
    <cfRule type="cellIs" dxfId="9" priority="6" operator="between">
      <formula>0</formula>
      <formula>1000000</formula>
    </cfRule>
  </conditionalFormatting>
  <conditionalFormatting sqref="E554:F554">
    <cfRule type="cellIs" dxfId="7" priority="4" operator="between">
      <formula>0</formula>
      <formula>100000</formula>
    </cfRule>
  </conditionalFormatting>
  <conditionalFormatting sqref="H7:H550">
    <cfRule type="containsText" dxfId="6" priority="1" operator="containsText" text="NON">
      <formula>NOT(ISERROR(SEARCH("NON",H7)))</formula>
    </cfRule>
    <cfRule type="containsText" dxfId="5" priority="2" operator="containsText" text="OUI">
      <formula>NOT(ISERROR(SEARCH("OUI",H7)))</formula>
    </cfRule>
  </conditionalFormatting>
  <pageMargins left="0.43307086614173229" right="0.23622047244094491" top="0.74803149606299213" bottom="0.74803149606299213" header="0.31496062992125984" footer="0.31496062992125984"/>
  <pageSetup paperSize="9" scale="81" fitToHeight="12" orientation="landscape" horizontalDpi="4294967293" verticalDpi="4294967293" r:id="rId1"/>
  <headerFooter>
    <oddHeader>&amp;L&amp;"Arial,Gras"&amp;14LPOL&amp;CSection GV Fitness
&amp;R&amp;D</oddHeader>
  </headerFooter>
  <rowBreaks count="5" manualBreakCount="5">
    <brk id="559" min="1" max="7" man="1"/>
    <brk id="613" min="1" max="7" man="1"/>
    <brk id="638" min="1" max="7" man="1"/>
    <brk id="702" min="1" max="7" man="1"/>
    <brk id="754" min="1" max="7" man="1"/>
  </rowBreaks>
  <ignoredErrors>
    <ignoredError sqref="G764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7890E88E-9A3F-4AF0-B965-22416234A91F}">
            <xm:f>NOT(ISERROR(SEARCH("-",D554)))</xm:f>
            <xm:f>"-"</xm:f>
            <x14:dxf>
              <font>
                <color auto="1"/>
              </font>
              <fill>
                <patternFill>
                  <bgColor rgb="FFFF6464"/>
                </patternFill>
              </fill>
            </x14:dxf>
          </x14:cfRule>
          <xm:sqref>D554</xm:sqref>
        </x14:conditionalFormatting>
        <x14:conditionalFormatting xmlns:xm="http://schemas.microsoft.com/office/excel/2006/main">
          <x14:cfRule type="containsText" priority="3" operator="containsText" id="{4998ADAD-497E-4DEB-B40F-05F6C2033524}">
            <xm:f>NOT(ISERROR(SEARCH("-",E554)))</xm:f>
            <xm:f>"-"</xm:f>
            <x14:dxf>
              <fill>
                <patternFill>
                  <bgColor rgb="FFFF6464"/>
                </patternFill>
              </fill>
            </x14:dxf>
          </x14:cfRule>
          <xm:sqref>E554:F554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7"/>
  <sheetViews>
    <sheetView tabSelected="1" view="pageBreakPreview" zoomScale="80" zoomScaleNormal="150" zoomScaleSheetLayoutView="80" zoomScalePageLayoutView="150" workbookViewId="0">
      <selection activeCell="D46" sqref="D46:E46"/>
    </sheetView>
  </sheetViews>
  <sheetFormatPr baseColWidth="10" defaultRowHeight="12.5" x14ac:dyDescent="0.25"/>
  <cols>
    <col min="2" max="2" width="25.6328125" customWidth="1"/>
    <col min="3" max="3" width="15.6328125" customWidth="1"/>
    <col min="5" max="5" width="20.6328125" customWidth="1"/>
    <col min="6" max="6" width="5.6328125" customWidth="1"/>
    <col min="7" max="7" width="20.6328125" customWidth="1"/>
    <col min="11" max="11" width="20.6328125" customWidth="1"/>
  </cols>
  <sheetData>
    <row r="1" spans="1:11" ht="30" customHeight="1" thickBot="1" x14ac:dyDescent="0.3">
      <c r="A1" s="393" t="s">
        <v>215</v>
      </c>
      <c r="B1" s="394"/>
      <c r="C1" s="394"/>
      <c r="D1" s="394"/>
      <c r="E1" s="394"/>
      <c r="F1" s="395" t="s">
        <v>223</v>
      </c>
      <c r="G1" s="395"/>
      <c r="H1" s="395"/>
      <c r="I1" s="390" t="str">
        <f>Compta!E2</f>
        <v>2024-2025</v>
      </c>
      <c r="J1" s="391"/>
      <c r="K1" s="392"/>
    </row>
    <row r="2" spans="1:11" ht="12" customHeight="1" thickBot="1" x14ac:dyDescent="0.3">
      <c r="A2" s="117"/>
      <c r="B2" s="117"/>
      <c r="C2" s="117"/>
      <c r="D2" s="117"/>
      <c r="E2" s="117"/>
      <c r="F2" s="117"/>
      <c r="G2" s="29"/>
    </row>
    <row r="3" spans="1:11" ht="20.149999999999999" customHeight="1" x14ac:dyDescent="0.25">
      <c r="A3" s="387" t="s">
        <v>2</v>
      </c>
      <c r="B3" s="388"/>
      <c r="C3" s="388"/>
      <c r="D3" s="388"/>
      <c r="E3" s="389"/>
      <c r="F3" s="117"/>
      <c r="G3" s="380" t="s">
        <v>3</v>
      </c>
      <c r="H3" s="381"/>
      <c r="I3" s="381"/>
      <c r="J3" s="381"/>
      <c r="K3" s="382"/>
    </row>
    <row r="4" spans="1:11" ht="15" customHeight="1" x14ac:dyDescent="0.25">
      <c r="A4" s="226"/>
      <c r="B4" s="227"/>
      <c r="C4" s="227"/>
      <c r="D4" s="227"/>
      <c r="E4" s="231"/>
      <c r="F4" s="117"/>
      <c r="G4" s="232"/>
      <c r="H4" s="233"/>
      <c r="I4" s="233"/>
      <c r="J4" s="234"/>
      <c r="K4" s="238"/>
    </row>
    <row r="5" spans="1:11" ht="15" customHeight="1" x14ac:dyDescent="0.25">
      <c r="A5" s="228" t="s">
        <v>144</v>
      </c>
      <c r="B5" s="227"/>
      <c r="C5" s="227"/>
      <c r="D5" s="227"/>
      <c r="E5" s="123">
        <v>18424.770000000044</v>
      </c>
      <c r="F5" s="117"/>
      <c r="G5" s="235" t="s">
        <v>145</v>
      </c>
      <c r="H5" s="233"/>
      <c r="I5" s="233"/>
      <c r="J5" s="234"/>
      <c r="K5" s="124"/>
    </row>
    <row r="6" spans="1:11" ht="15" customHeight="1" x14ac:dyDescent="0.25">
      <c r="A6" s="226"/>
      <c r="B6" s="227"/>
      <c r="C6" s="227"/>
      <c r="D6" s="227"/>
      <c r="E6" s="229"/>
      <c r="F6" s="117"/>
      <c r="G6" s="232"/>
      <c r="H6" s="233"/>
      <c r="I6" s="233"/>
      <c r="J6" s="234"/>
      <c r="K6" s="236"/>
    </row>
    <row r="7" spans="1:11" ht="15" customHeight="1" x14ac:dyDescent="0.25">
      <c r="A7" s="228" t="s">
        <v>10</v>
      </c>
      <c r="B7" s="227"/>
      <c r="C7" s="227"/>
      <c r="D7" s="227"/>
      <c r="E7" s="229">
        <f>SUM(Compta!G572:G574)</f>
        <v>5000</v>
      </c>
      <c r="F7" s="117"/>
      <c r="G7" s="235" t="s">
        <v>134</v>
      </c>
      <c r="H7" s="233"/>
      <c r="I7" s="233"/>
      <c r="J7" s="234"/>
      <c r="K7" s="236">
        <f>SUM(Compta!G643:G644,Compta!G646:G652)</f>
        <v>9349</v>
      </c>
    </row>
    <row r="8" spans="1:11" ht="15" customHeight="1" x14ac:dyDescent="0.25">
      <c r="A8" s="228" t="s">
        <v>4</v>
      </c>
      <c r="B8" s="227"/>
      <c r="C8" s="227"/>
      <c r="D8" s="227"/>
      <c r="E8" s="229">
        <f>Compta!G566</f>
        <v>0</v>
      </c>
      <c r="F8" s="117"/>
      <c r="G8" s="232"/>
      <c r="H8" s="233"/>
      <c r="I8" s="233"/>
      <c r="J8" s="234"/>
      <c r="K8" s="236"/>
    </row>
    <row r="9" spans="1:11" ht="15" customHeight="1" x14ac:dyDescent="0.25">
      <c r="A9" s="228" t="s">
        <v>5</v>
      </c>
      <c r="B9" s="227"/>
      <c r="C9" s="227"/>
      <c r="D9" s="227"/>
      <c r="E9" s="229">
        <f>Compta!G567</f>
        <v>0</v>
      </c>
      <c r="F9" s="117"/>
      <c r="G9" s="235" t="s">
        <v>135</v>
      </c>
      <c r="H9" s="233"/>
      <c r="I9" s="233"/>
      <c r="J9" s="234"/>
      <c r="K9" s="236">
        <f>SUM(Compta!G656:G659,Compta!G661:G663,Compta!G665:G674,Compta!G676:G677,Compta!G679:G682)</f>
        <v>28959.179999999993</v>
      </c>
    </row>
    <row r="10" spans="1:11" ht="15" customHeight="1" x14ac:dyDescent="0.25">
      <c r="A10" s="228" t="s">
        <v>6</v>
      </c>
      <c r="B10" s="227"/>
      <c r="C10" s="227"/>
      <c r="D10" s="227"/>
      <c r="E10" s="229">
        <f>Compta!G568</f>
        <v>0</v>
      </c>
      <c r="F10" s="117"/>
      <c r="G10" s="232"/>
      <c r="H10" s="233"/>
      <c r="I10" s="233"/>
      <c r="J10" s="234"/>
      <c r="K10" s="236"/>
    </row>
    <row r="11" spans="1:11" ht="15" customHeight="1" x14ac:dyDescent="0.25">
      <c r="A11" s="228" t="s">
        <v>7</v>
      </c>
      <c r="B11" s="227"/>
      <c r="C11" s="227"/>
      <c r="D11" s="227"/>
      <c r="E11" s="229">
        <f>Compta!G569</f>
        <v>0</v>
      </c>
      <c r="F11" s="117"/>
      <c r="G11" s="235" t="s">
        <v>162</v>
      </c>
      <c r="H11" s="233"/>
      <c r="I11" s="233"/>
      <c r="J11" s="234"/>
      <c r="K11" s="236">
        <f>SUM(Compta!G751:G752)</f>
        <v>0</v>
      </c>
    </row>
    <row r="12" spans="1:11" ht="15" customHeight="1" x14ac:dyDescent="0.25">
      <c r="A12" s="228" t="s">
        <v>8</v>
      </c>
      <c r="B12" s="227"/>
      <c r="C12" s="227"/>
      <c r="D12" s="227"/>
      <c r="E12" s="229">
        <f>Compta!G570</f>
        <v>0</v>
      </c>
      <c r="F12" s="117"/>
      <c r="G12" s="232"/>
      <c r="H12" s="233"/>
      <c r="I12" s="233"/>
      <c r="J12" s="234"/>
      <c r="K12" s="236"/>
    </row>
    <row r="13" spans="1:11" ht="15" customHeight="1" x14ac:dyDescent="0.25">
      <c r="A13" s="228" t="s">
        <v>9</v>
      </c>
      <c r="B13" s="227"/>
      <c r="C13" s="227"/>
      <c r="D13" s="227"/>
      <c r="E13" s="229">
        <f>Compta!G571</f>
        <v>0</v>
      </c>
      <c r="F13" s="117"/>
      <c r="G13" s="235" t="s">
        <v>171</v>
      </c>
      <c r="H13" s="233"/>
      <c r="I13" s="233"/>
      <c r="J13" s="234"/>
      <c r="K13" s="236">
        <f>Compta!G705</f>
        <v>0</v>
      </c>
    </row>
    <row r="14" spans="1:11" ht="15" customHeight="1" x14ac:dyDescent="0.25">
      <c r="A14" s="226"/>
      <c r="B14" s="227"/>
      <c r="C14" s="227"/>
      <c r="D14" s="227"/>
      <c r="E14" s="229"/>
      <c r="F14" s="117"/>
      <c r="G14" s="232"/>
      <c r="H14" s="233"/>
      <c r="I14" s="233"/>
      <c r="J14" s="234"/>
      <c r="K14" s="236"/>
    </row>
    <row r="15" spans="1:11" ht="15" customHeight="1" x14ac:dyDescent="0.25">
      <c r="A15" s="228" t="s">
        <v>161</v>
      </c>
      <c r="B15" s="227"/>
      <c r="C15" s="227"/>
      <c r="D15" s="227"/>
      <c r="E15" s="229">
        <f>Compta!G626</f>
        <v>0</v>
      </c>
      <c r="F15" s="117"/>
      <c r="G15" s="235" t="s">
        <v>137</v>
      </c>
      <c r="H15" s="233"/>
      <c r="I15" s="233"/>
      <c r="J15" s="234"/>
      <c r="K15" s="236">
        <f>SUM(Compta!G684:G688,Compta!G691,Compta!G698:G700,Compta!G706,Compta!G709:G711)</f>
        <v>1931.3100000000002</v>
      </c>
    </row>
    <row r="16" spans="1:11" ht="15" customHeight="1" x14ac:dyDescent="0.25">
      <c r="A16" s="226"/>
      <c r="B16" s="227"/>
      <c r="C16" s="227"/>
      <c r="D16" s="227"/>
      <c r="E16" s="229"/>
      <c r="F16" s="117"/>
      <c r="G16" s="232"/>
      <c r="H16" s="233"/>
      <c r="I16" s="233"/>
      <c r="J16" s="234"/>
      <c r="K16" s="236"/>
    </row>
    <row r="17" spans="1:11" ht="15" customHeight="1" x14ac:dyDescent="0.25">
      <c r="A17" s="228" t="s">
        <v>126</v>
      </c>
      <c r="B17" s="227"/>
      <c r="C17" s="227"/>
      <c r="D17" s="227"/>
      <c r="E17" s="229">
        <f>SUM(Compta!G576:G580)</f>
        <v>39453.75</v>
      </c>
      <c r="F17" s="117"/>
      <c r="G17" s="235" t="s">
        <v>138</v>
      </c>
      <c r="H17" s="233"/>
      <c r="I17" s="233"/>
      <c r="J17" s="234"/>
      <c r="K17" s="236">
        <f>SUM(Compta!G654,Compta!G690,Compta!G692:G694,Compta!G718:G719,Compta!G721:G727,Compta!G744:G745,Compta!G747,Compta!G748:G749)</f>
        <v>5285.62</v>
      </c>
    </row>
    <row r="18" spans="1:11" ht="15" customHeight="1" x14ac:dyDescent="0.25">
      <c r="A18" s="226"/>
      <c r="B18" s="227"/>
      <c r="C18" s="227"/>
      <c r="D18" s="227"/>
      <c r="E18" s="229"/>
      <c r="F18" s="117"/>
      <c r="G18" s="232"/>
      <c r="H18" s="233"/>
      <c r="I18" s="233"/>
      <c r="J18" s="234"/>
      <c r="K18" s="236"/>
    </row>
    <row r="19" spans="1:11" ht="15" customHeight="1" x14ac:dyDescent="0.25">
      <c r="A19" s="228" t="s">
        <v>127</v>
      </c>
      <c r="B19" s="227"/>
      <c r="C19" s="227"/>
      <c r="D19" s="227"/>
      <c r="E19" s="229">
        <f>SUM(Compta!G582:G584)</f>
        <v>55</v>
      </c>
      <c r="F19" s="117"/>
      <c r="G19" s="235" t="s">
        <v>131</v>
      </c>
      <c r="H19" s="233"/>
      <c r="I19" s="233"/>
      <c r="J19" s="234"/>
      <c r="K19" s="236">
        <f>SUM(Compta!G707,Compta!G734:G742)</f>
        <v>0</v>
      </c>
    </row>
    <row r="20" spans="1:11" ht="15" customHeight="1" x14ac:dyDescent="0.25">
      <c r="A20" s="226"/>
      <c r="B20" s="227"/>
      <c r="C20" s="227"/>
      <c r="D20" s="227"/>
      <c r="E20" s="229"/>
      <c r="F20" s="117"/>
      <c r="G20" s="232"/>
      <c r="H20" s="233"/>
      <c r="I20" s="233"/>
      <c r="J20" s="234"/>
      <c r="K20" s="236"/>
    </row>
    <row r="21" spans="1:11" ht="15" customHeight="1" x14ac:dyDescent="0.25">
      <c r="A21" s="228" t="s">
        <v>22</v>
      </c>
      <c r="B21" s="227"/>
      <c r="C21" s="227"/>
      <c r="D21" s="227"/>
      <c r="E21" s="229">
        <f>Compta!G586</f>
        <v>0</v>
      </c>
      <c r="F21" s="117"/>
      <c r="G21" s="235" t="s">
        <v>128</v>
      </c>
      <c r="H21" s="233"/>
      <c r="I21" s="233"/>
      <c r="J21" s="234"/>
      <c r="K21" s="236">
        <f>SUM(Compta!G696:G697,Compta!G730)</f>
        <v>41.120000000000005</v>
      </c>
    </row>
    <row r="22" spans="1:11" ht="15" customHeight="1" x14ac:dyDescent="0.25">
      <c r="A22" s="226"/>
      <c r="B22" s="227"/>
      <c r="C22" s="227"/>
      <c r="D22" s="227"/>
      <c r="E22" s="229"/>
      <c r="F22" s="117"/>
      <c r="G22" s="232"/>
      <c r="H22" s="233"/>
      <c r="I22" s="233"/>
      <c r="J22" s="234"/>
      <c r="K22" s="236"/>
    </row>
    <row r="23" spans="1:11" ht="15" customHeight="1" x14ac:dyDescent="0.25">
      <c r="A23" s="228" t="s">
        <v>128</v>
      </c>
      <c r="B23" s="227"/>
      <c r="C23" s="227"/>
      <c r="D23" s="227"/>
      <c r="E23" s="229">
        <f>SUM(Compta!G588:G589,Compta!G602:G603)</f>
        <v>0</v>
      </c>
      <c r="F23" s="117"/>
      <c r="G23" s="235" t="s">
        <v>139</v>
      </c>
      <c r="H23" s="233"/>
      <c r="I23" s="233"/>
      <c r="J23" s="234"/>
      <c r="K23" s="236">
        <f>SUM(Compta!G713:G716)</f>
        <v>0</v>
      </c>
    </row>
    <row r="24" spans="1:11" ht="15" customHeight="1" x14ac:dyDescent="0.25">
      <c r="A24" s="226"/>
      <c r="B24" s="227"/>
      <c r="C24" s="227"/>
      <c r="D24" s="227"/>
      <c r="E24" s="229"/>
      <c r="F24" s="117"/>
      <c r="G24" s="232"/>
      <c r="H24" s="233"/>
      <c r="I24" s="233"/>
      <c r="J24" s="234"/>
      <c r="K24" s="236"/>
    </row>
    <row r="25" spans="1:11" ht="15" customHeight="1" x14ac:dyDescent="0.25">
      <c r="A25" s="228" t="s">
        <v>129</v>
      </c>
      <c r="B25" s="227"/>
      <c r="C25" s="227"/>
      <c r="D25" s="227"/>
      <c r="E25" s="229">
        <f>SUM(Compta!G592:G595,Compta!G597:G600)</f>
        <v>0</v>
      </c>
      <c r="F25" s="117"/>
      <c r="G25" s="235" t="s">
        <v>136</v>
      </c>
      <c r="H25" s="233"/>
      <c r="I25" s="233"/>
      <c r="J25" s="234"/>
      <c r="K25" s="236">
        <f>SUM(Compta!G720)</f>
        <v>0</v>
      </c>
    </row>
    <row r="26" spans="1:11" ht="15" customHeight="1" x14ac:dyDescent="0.25">
      <c r="A26" s="226"/>
      <c r="B26" s="227"/>
      <c r="C26" s="227"/>
      <c r="D26" s="227"/>
      <c r="E26" s="229"/>
      <c r="F26" s="117"/>
      <c r="G26" s="232"/>
      <c r="H26" s="233"/>
      <c r="I26" s="233"/>
      <c r="J26" s="234"/>
      <c r="K26" s="236"/>
    </row>
    <row r="27" spans="1:11" ht="15" customHeight="1" x14ac:dyDescent="0.25">
      <c r="A27" s="228" t="s">
        <v>130</v>
      </c>
      <c r="B27" s="227"/>
      <c r="C27" s="227"/>
      <c r="D27" s="227"/>
      <c r="E27" s="229">
        <f>Compta!G590</f>
        <v>0</v>
      </c>
      <c r="F27" s="117"/>
      <c r="G27" s="235" t="s">
        <v>93</v>
      </c>
      <c r="H27" s="233"/>
      <c r="I27" s="233"/>
      <c r="J27" s="234"/>
      <c r="K27" s="236">
        <f>SUM(Compta!G729,Compta!G731:G732)</f>
        <v>0</v>
      </c>
    </row>
    <row r="28" spans="1:11" ht="15" customHeight="1" x14ac:dyDescent="0.25">
      <c r="A28" s="226"/>
      <c r="B28" s="227"/>
      <c r="C28" s="227"/>
      <c r="D28" s="227"/>
      <c r="E28" s="229"/>
      <c r="F28" s="117"/>
      <c r="G28" s="232"/>
      <c r="H28" s="233"/>
      <c r="I28" s="233"/>
      <c r="J28" s="234"/>
      <c r="K28" s="236"/>
    </row>
    <row r="29" spans="1:11" ht="15" customHeight="1" x14ac:dyDescent="0.25">
      <c r="A29" s="228" t="s">
        <v>131</v>
      </c>
      <c r="B29" s="227"/>
      <c r="C29" s="227"/>
      <c r="D29" s="227"/>
      <c r="E29" s="229">
        <f>SUM(Compta!G605:G609)</f>
        <v>0</v>
      </c>
      <c r="F29" s="117"/>
      <c r="G29" s="235" t="s">
        <v>140</v>
      </c>
      <c r="H29" s="233"/>
      <c r="I29" s="233"/>
      <c r="J29" s="234"/>
      <c r="K29" s="236">
        <f>SUM(Compta!G758:G759)</f>
        <v>0</v>
      </c>
    </row>
    <row r="30" spans="1:11" ht="15" customHeight="1" x14ac:dyDescent="0.25">
      <c r="A30" s="226"/>
      <c r="B30" s="227"/>
      <c r="C30" s="227"/>
      <c r="D30" s="227"/>
      <c r="E30" s="229"/>
      <c r="F30" s="117"/>
      <c r="G30" s="232"/>
      <c r="H30" s="233"/>
      <c r="I30" s="233"/>
      <c r="J30" s="234"/>
      <c r="K30" s="236"/>
    </row>
    <row r="31" spans="1:11" ht="15" customHeight="1" x14ac:dyDescent="0.25">
      <c r="A31" s="228" t="s">
        <v>132</v>
      </c>
      <c r="B31" s="227"/>
      <c r="C31" s="227"/>
      <c r="D31" s="227"/>
      <c r="E31" s="229">
        <f>SUM(Compta!G620:G624)</f>
        <v>1609.92</v>
      </c>
      <c r="F31" s="117"/>
      <c r="G31" s="235" t="s">
        <v>178</v>
      </c>
      <c r="H31" s="233"/>
      <c r="I31" s="233"/>
      <c r="J31" s="234"/>
      <c r="K31" s="236">
        <f>SUM(Compta!G761:G765)</f>
        <v>0</v>
      </c>
    </row>
    <row r="32" spans="1:11" ht="20.149999999999999" customHeight="1" x14ac:dyDescent="0.25">
      <c r="A32" s="226"/>
      <c r="B32" s="227"/>
      <c r="C32" s="227"/>
      <c r="D32" s="227"/>
      <c r="E32" s="229"/>
      <c r="F32" s="117"/>
      <c r="G32" s="232"/>
      <c r="H32" s="233"/>
      <c r="I32" s="233"/>
      <c r="J32" s="234"/>
      <c r="K32" s="237"/>
    </row>
    <row r="33" spans="1:11" ht="15" customHeight="1" x14ac:dyDescent="0.25">
      <c r="A33" s="228" t="s">
        <v>133</v>
      </c>
      <c r="B33" s="227"/>
      <c r="C33" s="227"/>
      <c r="D33" s="227"/>
      <c r="E33" s="229">
        <f>SUM(Compta!G628:G634)</f>
        <v>500</v>
      </c>
      <c r="F33" s="117"/>
      <c r="G33" s="232"/>
      <c r="H33" s="233"/>
      <c r="I33" s="233"/>
      <c r="J33" s="234"/>
      <c r="K33" s="237"/>
    </row>
    <row r="34" spans="1:11" ht="15" customHeight="1" x14ac:dyDescent="0.25">
      <c r="A34" s="228"/>
      <c r="B34" s="227"/>
      <c r="C34" s="227"/>
      <c r="D34" s="227"/>
      <c r="E34" s="229"/>
      <c r="F34" s="117"/>
      <c r="G34" s="232"/>
      <c r="H34" s="233"/>
      <c r="I34" s="233"/>
      <c r="J34" s="234"/>
      <c r="K34" s="237"/>
    </row>
    <row r="35" spans="1:11" ht="15" customHeight="1" x14ac:dyDescent="0.25">
      <c r="A35" s="228" t="s">
        <v>211</v>
      </c>
      <c r="B35" s="227"/>
      <c r="C35" s="227"/>
      <c r="D35" s="227"/>
      <c r="E35" s="229">
        <f>SUM(Compta!G616:G618)</f>
        <v>0</v>
      </c>
      <c r="F35" s="117"/>
      <c r="G35" s="232"/>
      <c r="H35" s="233"/>
      <c r="I35" s="233"/>
      <c r="J35" s="234"/>
      <c r="K35" s="237"/>
    </row>
    <row r="36" spans="1:11" ht="15" customHeight="1" x14ac:dyDescent="0.25">
      <c r="A36" s="226"/>
      <c r="B36" s="227"/>
      <c r="C36" s="227"/>
      <c r="D36" s="227"/>
      <c r="E36" s="230"/>
      <c r="F36" s="117"/>
      <c r="G36" s="232"/>
      <c r="H36" s="233"/>
      <c r="I36" s="233"/>
      <c r="J36" s="234"/>
      <c r="K36" s="238"/>
    </row>
    <row r="37" spans="1:11" ht="20.149999999999999" customHeight="1" thickBot="1" x14ac:dyDescent="0.3">
      <c r="A37" s="208"/>
      <c r="B37" s="385" t="s">
        <v>1</v>
      </c>
      <c r="C37" s="385"/>
      <c r="D37" s="386"/>
      <c r="E37" s="209">
        <f>SUM(E5:E36)</f>
        <v>65043.440000000046</v>
      </c>
      <c r="F37" s="117"/>
      <c r="G37" s="217"/>
      <c r="H37" s="383" t="s">
        <v>0</v>
      </c>
      <c r="I37" s="383"/>
      <c r="J37" s="384"/>
      <c r="K37" s="218">
        <f>SUM(K5:K36)</f>
        <v>45566.229999999996</v>
      </c>
    </row>
    <row r="38" spans="1:11" ht="12" customHeight="1" thickBot="1" x14ac:dyDescent="0.3">
      <c r="A38" s="117"/>
      <c r="B38" s="117"/>
      <c r="C38" s="117"/>
      <c r="D38" s="117"/>
      <c r="E38" s="117"/>
      <c r="F38" s="117"/>
      <c r="G38" s="29"/>
    </row>
    <row r="39" spans="1:11" ht="9.9" customHeight="1" x14ac:dyDescent="0.25">
      <c r="A39" s="181"/>
      <c r="B39" s="182"/>
      <c r="C39" s="182"/>
      <c r="D39" s="182"/>
      <c r="E39" s="183"/>
      <c r="F39" s="117"/>
      <c r="G39" s="29"/>
    </row>
    <row r="40" spans="1:11" ht="24.9" customHeight="1" x14ac:dyDescent="0.25">
      <c r="A40" s="176"/>
      <c r="B40" s="398" t="s">
        <v>143</v>
      </c>
      <c r="C40" s="398"/>
      <c r="D40" s="398"/>
      <c r="E40" s="180"/>
      <c r="F40" s="117"/>
      <c r="G40" s="29"/>
    </row>
    <row r="41" spans="1:11" ht="9.9" customHeight="1" x14ac:dyDescent="0.25">
      <c r="A41" s="176"/>
      <c r="B41" s="117"/>
      <c r="C41" s="117"/>
      <c r="D41" s="117"/>
      <c r="E41" s="180"/>
      <c r="F41" s="117"/>
      <c r="G41" s="29"/>
    </row>
    <row r="42" spans="1:11" ht="24.9" customHeight="1" x14ac:dyDescent="0.25">
      <c r="A42" s="176"/>
      <c r="B42" s="210" t="s">
        <v>2</v>
      </c>
      <c r="C42" s="210"/>
      <c r="D42" s="402">
        <f>E37</f>
        <v>65043.440000000046</v>
      </c>
      <c r="E42" s="403"/>
      <c r="F42" s="117"/>
      <c r="G42" s="29"/>
    </row>
    <row r="43" spans="1:11" ht="9.9" customHeight="1" x14ac:dyDescent="0.25">
      <c r="A43" s="176"/>
      <c r="B43" s="117"/>
      <c r="C43" s="117"/>
      <c r="D43" s="185"/>
      <c r="E43" s="179"/>
      <c r="F43" s="117"/>
      <c r="G43" s="29"/>
    </row>
    <row r="44" spans="1:11" ht="24.9" customHeight="1" x14ac:dyDescent="0.25">
      <c r="A44" s="176"/>
      <c r="B44" s="219" t="s">
        <v>3</v>
      </c>
      <c r="C44" s="219"/>
      <c r="D44" s="404">
        <f>K37</f>
        <v>45566.229999999996</v>
      </c>
      <c r="E44" s="405"/>
      <c r="F44" s="117"/>
      <c r="G44" s="29"/>
    </row>
    <row r="45" spans="1:11" ht="9.9" customHeight="1" x14ac:dyDescent="0.25">
      <c r="A45" s="176"/>
      <c r="B45" s="117"/>
      <c r="C45" s="117"/>
      <c r="D45" s="185"/>
      <c r="E45" s="179"/>
      <c r="F45" s="117"/>
      <c r="G45" s="29"/>
    </row>
    <row r="46" spans="1:11" ht="24.9" customHeight="1" x14ac:dyDescent="0.25">
      <c r="A46" s="186">
        <v>120000</v>
      </c>
      <c r="B46" s="184" t="s">
        <v>141</v>
      </c>
      <c r="C46" s="184"/>
      <c r="D46" s="406">
        <f>IF(D42-D44&gt;0,D42-D44,0)</f>
        <v>19477.21000000005</v>
      </c>
      <c r="E46" s="407"/>
      <c r="F46" s="117"/>
      <c r="G46" s="29"/>
      <c r="H46" s="22"/>
    </row>
    <row r="47" spans="1:11" ht="24.9" customHeight="1" x14ac:dyDescent="0.25">
      <c r="A47" s="186">
        <v>129000</v>
      </c>
      <c r="B47" s="184" t="s">
        <v>142</v>
      </c>
      <c r="C47" s="184"/>
      <c r="D47" s="406">
        <f>IF(D42-D44&lt;0,D42-D44,0)</f>
        <v>0</v>
      </c>
      <c r="E47" s="407"/>
      <c r="F47" s="117"/>
      <c r="G47" s="29"/>
    </row>
    <row r="48" spans="1:11" ht="9.9" customHeight="1" thickBot="1" x14ac:dyDescent="0.3">
      <c r="A48" s="177"/>
      <c r="B48" s="187"/>
      <c r="C48" s="187"/>
      <c r="D48" s="187"/>
      <c r="E48" s="188"/>
      <c r="F48" s="117"/>
      <c r="G48" s="29"/>
    </row>
    <row r="49" spans="1:7" ht="12" customHeight="1" thickBot="1" x14ac:dyDescent="0.3">
      <c r="A49" s="29"/>
      <c r="B49" s="29"/>
      <c r="C49" s="29"/>
      <c r="D49" s="29"/>
      <c r="E49" s="29"/>
      <c r="F49" s="29"/>
      <c r="G49" s="29"/>
    </row>
    <row r="50" spans="1:7" ht="50.15" customHeight="1" thickBot="1" x14ac:dyDescent="0.3">
      <c r="A50" s="399" t="s">
        <v>149</v>
      </c>
      <c r="B50" s="400"/>
      <c r="C50" s="400"/>
      <c r="D50" s="400"/>
      <c r="E50" s="400"/>
      <c r="F50" s="400"/>
      <c r="G50" s="401"/>
    </row>
    <row r="51" spans="1:7" ht="9.9" customHeight="1" x14ac:dyDescent="0.25">
      <c r="A51" s="176"/>
      <c r="B51" s="189"/>
      <c r="C51" s="190"/>
      <c r="D51" s="190"/>
      <c r="E51" s="190"/>
      <c r="F51" s="191"/>
      <c r="G51" s="180"/>
    </row>
    <row r="52" spans="1:7" ht="30" customHeight="1" x14ac:dyDescent="0.25">
      <c r="A52" s="211">
        <v>120000</v>
      </c>
      <c r="B52" s="212" t="s">
        <v>141</v>
      </c>
      <c r="C52" s="213"/>
      <c r="D52" s="214"/>
      <c r="E52" s="213"/>
      <c r="F52" s="215"/>
      <c r="G52" s="216">
        <f>D46</f>
        <v>19477.21000000005</v>
      </c>
    </row>
    <row r="53" spans="1:7" ht="30" customHeight="1" x14ac:dyDescent="0.25">
      <c r="A53" s="220">
        <v>129000</v>
      </c>
      <c r="B53" s="221" t="s">
        <v>142</v>
      </c>
      <c r="C53" s="222"/>
      <c r="D53" s="223"/>
      <c r="E53" s="222"/>
      <c r="F53" s="224"/>
      <c r="G53" s="225">
        <f>D47</f>
        <v>0</v>
      </c>
    </row>
    <row r="54" spans="1:7" ht="9.9" customHeight="1" x14ac:dyDescent="0.25">
      <c r="A54" s="192"/>
      <c r="B54" s="193"/>
      <c r="C54" s="194"/>
      <c r="D54" s="195"/>
      <c r="E54" s="194"/>
      <c r="F54" s="196"/>
      <c r="G54" s="198"/>
    </row>
    <row r="55" spans="1:7" ht="30" customHeight="1" x14ac:dyDescent="0.25">
      <c r="A55" s="199"/>
      <c r="B55" s="193" t="s">
        <v>146</v>
      </c>
      <c r="C55" s="194"/>
      <c r="D55" s="194"/>
      <c r="E55" s="194"/>
      <c r="F55" s="196"/>
      <c r="G55" s="200"/>
    </row>
    <row r="56" spans="1:7" ht="30" customHeight="1" x14ac:dyDescent="0.25">
      <c r="A56" s="192">
        <v>681510</v>
      </c>
      <c r="B56" s="193" t="s">
        <v>122</v>
      </c>
      <c r="C56" s="194"/>
      <c r="D56" s="194"/>
      <c r="E56" s="194"/>
      <c r="F56" s="196"/>
      <c r="G56" s="197"/>
    </row>
    <row r="57" spans="1:7" ht="30" customHeight="1" x14ac:dyDescent="0.25">
      <c r="A57" s="192">
        <v>681530</v>
      </c>
      <c r="B57" s="193" t="s">
        <v>121</v>
      </c>
      <c r="C57" s="194"/>
      <c r="D57" s="194"/>
      <c r="E57" s="194"/>
      <c r="F57" s="196"/>
      <c r="G57" s="197"/>
    </row>
    <row r="58" spans="1:7" ht="30" customHeight="1" x14ac:dyDescent="0.25">
      <c r="A58" s="192">
        <v>681540</v>
      </c>
      <c r="B58" s="193" t="s">
        <v>123</v>
      </c>
      <c r="C58" s="194"/>
      <c r="D58" s="194"/>
      <c r="E58" s="194"/>
      <c r="F58" s="196"/>
      <c r="G58" s="197"/>
    </row>
    <row r="59" spans="1:7" ht="9.9" customHeight="1" x14ac:dyDescent="0.25">
      <c r="A59" s="199"/>
      <c r="B59" s="193"/>
      <c r="C59" s="194"/>
      <c r="D59" s="194"/>
      <c r="E59" s="194"/>
      <c r="F59" s="196"/>
      <c r="G59" s="198"/>
    </row>
    <row r="60" spans="1:7" ht="30" customHeight="1" x14ac:dyDescent="0.25">
      <c r="A60" s="192">
        <v>740900</v>
      </c>
      <c r="B60" s="193" t="s">
        <v>147</v>
      </c>
      <c r="C60" s="194"/>
      <c r="D60" s="194"/>
      <c r="E60" s="194"/>
      <c r="F60" s="196"/>
      <c r="G60" s="197"/>
    </row>
    <row r="61" spans="1:7" ht="9.9" customHeight="1" x14ac:dyDescent="0.25">
      <c r="A61" s="199"/>
      <c r="B61" s="193"/>
      <c r="C61" s="194"/>
      <c r="D61" s="194"/>
      <c r="E61" s="194"/>
      <c r="F61" s="196"/>
      <c r="G61" s="200"/>
    </row>
    <row r="62" spans="1:7" ht="30" customHeight="1" x14ac:dyDescent="0.25">
      <c r="A62" s="192">
        <v>740920</v>
      </c>
      <c r="B62" s="193" t="s">
        <v>12</v>
      </c>
      <c r="C62" s="194"/>
      <c r="D62" s="194"/>
      <c r="E62" s="194"/>
      <c r="F62" s="201"/>
      <c r="G62" s="197">
        <f>Compta!G574</f>
        <v>0</v>
      </c>
    </row>
    <row r="63" spans="1:7" ht="9.9" customHeight="1" x14ac:dyDescent="0.25">
      <c r="A63" s="176"/>
      <c r="B63" s="202"/>
      <c r="C63" s="117"/>
      <c r="D63" s="117"/>
      <c r="E63" s="117"/>
      <c r="F63" s="178"/>
      <c r="G63" s="203"/>
    </row>
    <row r="64" spans="1:7" ht="30" customHeight="1" x14ac:dyDescent="0.25">
      <c r="A64" s="176"/>
      <c r="B64" s="408" t="s">
        <v>148</v>
      </c>
      <c r="C64" s="409"/>
      <c r="D64" s="409"/>
      <c r="E64" s="409"/>
      <c r="F64" s="410"/>
      <c r="G64" s="204">
        <f>SUM(G52+G53+G56+G57+G58+G60-G62)</f>
        <v>19477.21000000005</v>
      </c>
    </row>
    <row r="65" spans="1:7" ht="9.9" customHeight="1" x14ac:dyDescent="0.25">
      <c r="A65" s="176"/>
      <c r="B65" s="202"/>
      <c r="C65" s="117"/>
      <c r="D65" s="117"/>
      <c r="E65" s="117"/>
      <c r="F65" s="178"/>
      <c r="G65" s="203"/>
    </row>
    <row r="66" spans="1:7" ht="30" customHeight="1" x14ac:dyDescent="0.25">
      <c r="A66" s="176"/>
      <c r="B66" s="202"/>
      <c r="C66" s="396" t="s">
        <v>163</v>
      </c>
      <c r="D66" s="396"/>
      <c r="E66" s="396"/>
      <c r="F66" s="397"/>
      <c r="G66" s="205">
        <f>Compta!E776</f>
        <v>0</v>
      </c>
    </row>
    <row r="67" spans="1:7" ht="9.9" customHeight="1" thickBot="1" x14ac:dyDescent="0.3">
      <c r="A67" s="177"/>
      <c r="B67" s="206"/>
      <c r="C67" s="187"/>
      <c r="D67" s="187"/>
      <c r="E67" s="187"/>
      <c r="F67" s="207"/>
      <c r="G67" s="188"/>
    </row>
  </sheetData>
  <mergeCells count="15">
    <mergeCell ref="C66:F66"/>
    <mergeCell ref="B40:D40"/>
    <mergeCell ref="A50:G50"/>
    <mergeCell ref="D42:E42"/>
    <mergeCell ref="D44:E44"/>
    <mergeCell ref="D46:E46"/>
    <mergeCell ref="D47:E47"/>
    <mergeCell ref="B64:F64"/>
    <mergeCell ref="G3:K3"/>
    <mergeCell ref="H37:J37"/>
    <mergeCell ref="B37:D37"/>
    <mergeCell ref="A3:E3"/>
    <mergeCell ref="I1:K1"/>
    <mergeCell ref="A1:E1"/>
    <mergeCell ref="F1:H1"/>
  </mergeCells>
  <phoneticPr fontId="0" type="noConversion"/>
  <printOptions horizontalCentered="1" verticalCentered="1"/>
  <pageMargins left="0.59055118110236227" right="0.39370078740157483" top="0.59055118110236227" bottom="0.19685039370078741" header="0.51181102362204722" footer="0.51181102362204722"/>
  <pageSetup paperSize="9" scale="58" fitToHeight="5" orientation="portrait" cellComments="asDisplayed" r:id="rId1"/>
  <headerFooter>
    <oddHeader>&amp;L&amp;"Arial,Gras"&amp;16LA POSTILLONNE&amp;CSection TRAMPOLINE_x000D_&amp;R&amp;D</oddHeader>
  </headerFooter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7"/>
  <sheetViews>
    <sheetView view="pageBreakPreview" zoomScale="140" zoomScaleNormal="200" zoomScaleSheetLayoutView="140" zoomScalePageLayoutView="200" workbookViewId="0">
      <selection sqref="A1:C1"/>
    </sheetView>
  </sheetViews>
  <sheetFormatPr baseColWidth="10" defaultRowHeight="12.5" x14ac:dyDescent="0.25"/>
  <cols>
    <col min="1" max="1" width="20" customWidth="1"/>
    <col min="2" max="2" width="50" style="120" customWidth="1"/>
    <col min="3" max="3" width="58.453125" style="120" customWidth="1"/>
    <col min="4" max="4" width="43.08984375" customWidth="1"/>
  </cols>
  <sheetData>
    <row r="1" spans="1:3" ht="15.5" x14ac:dyDescent="0.25">
      <c r="A1" s="411" t="s">
        <v>180</v>
      </c>
      <c r="B1" s="411"/>
      <c r="C1" s="411"/>
    </row>
    <row r="3" spans="1:3" ht="17.149999999999999" customHeight="1" x14ac:dyDescent="0.25">
      <c r="A3" s="118">
        <v>605100</v>
      </c>
      <c r="B3" s="119" t="s">
        <v>61</v>
      </c>
      <c r="C3" s="121" t="str">
        <f>CONCATENATE(A3," ",B3)</f>
        <v>605100 Achats de matériel</v>
      </c>
    </row>
    <row r="4" spans="1:3" ht="17.149999999999999" customHeight="1" x14ac:dyDescent="0.25">
      <c r="A4" s="118">
        <v>605200</v>
      </c>
      <c r="B4" s="119" t="s">
        <v>62</v>
      </c>
      <c r="C4" s="121" t="str">
        <f t="shared" ref="C4:C67" si="0">CONCATENATE(A4," ",B4)</f>
        <v>605200 Achats d'équipements sportifs</v>
      </c>
    </row>
    <row r="5" spans="1:3" ht="17.149999999999999" customHeight="1" x14ac:dyDescent="0.25">
      <c r="A5" s="118">
        <v>605210</v>
      </c>
      <c r="B5" s="119" t="s">
        <v>153</v>
      </c>
      <c r="C5" s="121" t="str">
        <f t="shared" si="0"/>
        <v>605210 Achats d'équipements pour entraineurs</v>
      </c>
    </row>
    <row r="6" spans="1:3" ht="17.149999999999999" customHeight="1" x14ac:dyDescent="0.25">
      <c r="A6" s="118">
        <v>605220</v>
      </c>
      <c r="B6" s="119" t="s">
        <v>154</v>
      </c>
      <c r="C6" s="121" t="str">
        <f t="shared" si="0"/>
        <v>605220 Achats d'équipements pour sportifs</v>
      </c>
    </row>
    <row r="7" spans="1:3" ht="17.149999999999999" customHeight="1" x14ac:dyDescent="0.25">
      <c r="A7" s="118">
        <v>605400</v>
      </c>
      <c r="B7" s="119" t="s">
        <v>63</v>
      </c>
      <c r="C7" s="121" t="str">
        <f t="shared" si="0"/>
        <v>605400 Achats de coupes, trophées, médailles</v>
      </c>
    </row>
    <row r="8" spans="1:3" ht="17.149999999999999" customHeight="1" x14ac:dyDescent="0.25">
      <c r="A8" s="118">
        <v>606200</v>
      </c>
      <c r="B8" s="119" t="s">
        <v>170</v>
      </c>
      <c r="C8" s="121" t="str">
        <f t="shared" si="0"/>
        <v>606200 Fournitures non stockables</v>
      </c>
    </row>
    <row r="9" spans="1:3" ht="17.149999999999999" customHeight="1" x14ac:dyDescent="0.25">
      <c r="A9" s="118">
        <v>606300</v>
      </c>
      <c r="B9" s="119" t="s">
        <v>65</v>
      </c>
      <c r="C9" s="121" t="str">
        <f t="shared" si="0"/>
        <v>606300 Fournitures d'entretien et petit matériel</v>
      </c>
    </row>
    <row r="10" spans="1:3" ht="17.149999999999999" customHeight="1" x14ac:dyDescent="0.25">
      <c r="A10" s="118">
        <v>606400</v>
      </c>
      <c r="B10" s="119" t="s">
        <v>64</v>
      </c>
      <c r="C10" s="121" t="str">
        <f t="shared" si="0"/>
        <v>606400 Fournitures administratives</v>
      </c>
    </row>
    <row r="11" spans="1:3" ht="17.149999999999999" customHeight="1" x14ac:dyDescent="0.25">
      <c r="A11" s="118">
        <v>606500</v>
      </c>
      <c r="B11" s="119" t="s">
        <v>66</v>
      </c>
      <c r="C11" s="121" t="str">
        <f t="shared" si="0"/>
        <v>606500 Fourniture médicales</v>
      </c>
    </row>
    <row r="12" spans="1:3" ht="17.149999999999999" customHeight="1" x14ac:dyDescent="0.25">
      <c r="A12" s="118">
        <v>606800</v>
      </c>
      <c r="B12" s="119" t="s">
        <v>67</v>
      </c>
      <c r="C12" s="121" t="str">
        <f t="shared" si="0"/>
        <v>606800 Fournitures diverses</v>
      </c>
    </row>
    <row r="13" spans="1:3" ht="17.149999999999999" customHeight="1" x14ac:dyDescent="0.25">
      <c r="A13" s="118">
        <v>607100</v>
      </c>
      <c r="B13" s="119" t="s">
        <v>68</v>
      </c>
      <c r="C13" s="121" t="str">
        <f t="shared" si="0"/>
        <v>607100 Achats aliments</v>
      </c>
    </row>
    <row r="14" spans="1:3" ht="17.149999999999999" customHeight="1" x14ac:dyDescent="0.25">
      <c r="A14" s="118">
        <v>607200</v>
      </c>
      <c r="B14" s="119" t="s">
        <v>69</v>
      </c>
      <c r="C14" s="121" t="str">
        <f t="shared" si="0"/>
        <v>607200 Achats boissons</v>
      </c>
    </row>
    <row r="15" spans="1:3" ht="17.149999999999999" customHeight="1" x14ac:dyDescent="0.25">
      <c r="A15" s="118">
        <v>607500</v>
      </c>
      <c r="B15" s="119" t="s">
        <v>71</v>
      </c>
      <c r="C15" s="121" t="str">
        <f t="shared" si="0"/>
        <v>607500 Achats insignes, fanions, accessoires, gadgets…</v>
      </c>
    </row>
    <row r="16" spans="1:3" ht="17.149999999999999" customHeight="1" x14ac:dyDescent="0.25">
      <c r="A16" s="118">
        <v>607600</v>
      </c>
      <c r="B16" s="119" t="s">
        <v>70</v>
      </c>
      <c r="C16" s="121" t="str">
        <f t="shared" si="0"/>
        <v>607600 Achats livres, brochures, guides sportifs…</v>
      </c>
    </row>
    <row r="17" spans="1:3" ht="17.149999999999999" customHeight="1" x14ac:dyDescent="0.25">
      <c r="A17" s="118">
        <v>607700</v>
      </c>
      <c r="B17" s="119" t="s">
        <v>72</v>
      </c>
      <c r="C17" s="121" t="str">
        <f t="shared" si="0"/>
        <v>607700 Achats articles de sports</v>
      </c>
    </row>
    <row r="18" spans="1:3" ht="17.149999999999999" customHeight="1" x14ac:dyDescent="0.25">
      <c r="A18" s="118">
        <v>613200</v>
      </c>
      <c r="B18" s="119" t="s">
        <v>167</v>
      </c>
      <c r="C18" s="121" t="str">
        <f t="shared" si="0"/>
        <v>613200 Locations immobilières</v>
      </c>
    </row>
    <row r="19" spans="1:3" ht="17.149999999999999" customHeight="1" x14ac:dyDescent="0.25">
      <c r="A19" s="118">
        <v>613500</v>
      </c>
      <c r="B19" s="119" t="s">
        <v>168</v>
      </c>
      <c r="C19" s="121" t="str">
        <f t="shared" si="0"/>
        <v>613500 Locations de matériel</v>
      </c>
    </row>
    <row r="20" spans="1:3" ht="17.149999999999999" customHeight="1" x14ac:dyDescent="0.25">
      <c r="A20" s="118">
        <v>613600</v>
      </c>
      <c r="B20" s="119" t="s">
        <v>169</v>
      </c>
      <c r="C20" s="121" t="str">
        <f t="shared" si="0"/>
        <v>613600 Locations de véhicules</v>
      </c>
    </row>
    <row r="21" spans="1:3" ht="17.149999999999999" customHeight="1" x14ac:dyDescent="0.25">
      <c r="A21" s="118">
        <v>615200</v>
      </c>
      <c r="B21" s="119" t="s">
        <v>73</v>
      </c>
      <c r="C21" s="121" t="str">
        <f t="shared" si="0"/>
        <v>615200 Entretien et réparation sur bien immobilier</v>
      </c>
    </row>
    <row r="22" spans="1:3" ht="17.149999999999999" customHeight="1" x14ac:dyDescent="0.25">
      <c r="A22" s="118">
        <v>615500</v>
      </c>
      <c r="B22" s="119" t="s">
        <v>74</v>
      </c>
      <c r="C22" s="121" t="str">
        <f t="shared" si="0"/>
        <v>615500 Entretien et réparation sur bien mobilier</v>
      </c>
    </row>
    <row r="23" spans="1:3" ht="17.149999999999999" customHeight="1" x14ac:dyDescent="0.25">
      <c r="A23" s="118">
        <v>615600</v>
      </c>
      <c r="B23" s="119" t="s">
        <v>75</v>
      </c>
      <c r="C23" s="121" t="str">
        <f t="shared" si="0"/>
        <v>615600 Contrat de maintenance</v>
      </c>
    </row>
    <row r="24" spans="1:3" ht="17.149999999999999" customHeight="1" x14ac:dyDescent="0.25">
      <c r="A24" s="118">
        <v>616100</v>
      </c>
      <c r="B24" s="119" t="s">
        <v>76</v>
      </c>
      <c r="C24" s="121" t="str">
        <f t="shared" si="0"/>
        <v>616100 Assurance Responsabilité Civile</v>
      </c>
    </row>
    <row r="25" spans="1:3" ht="17.149999999999999" customHeight="1" x14ac:dyDescent="0.25">
      <c r="A25" s="118">
        <v>616200</v>
      </c>
      <c r="B25" s="119" t="s">
        <v>77</v>
      </c>
      <c r="C25" s="121" t="str">
        <f t="shared" si="0"/>
        <v>616200 Assurance Multirisque, incendie, vol…</v>
      </c>
    </row>
    <row r="26" spans="1:3" ht="17.149999999999999" customHeight="1" x14ac:dyDescent="0.25">
      <c r="A26" s="118">
        <v>616300</v>
      </c>
      <c r="B26" s="119" t="s">
        <v>78</v>
      </c>
      <c r="C26" s="121" t="str">
        <f t="shared" si="0"/>
        <v>616300 Assurance Véhicules</v>
      </c>
    </row>
    <row r="27" spans="1:3" ht="17.149999999999999" customHeight="1" x14ac:dyDescent="0.25">
      <c r="A27" s="118">
        <v>616800</v>
      </c>
      <c r="B27" s="119" t="s">
        <v>79</v>
      </c>
      <c r="C27" s="121" t="str">
        <f t="shared" si="0"/>
        <v>616800 Autres assurance</v>
      </c>
    </row>
    <row r="28" spans="1:3" ht="17.149999999999999" customHeight="1" x14ac:dyDescent="0.25">
      <c r="A28" s="118">
        <v>618100</v>
      </c>
      <c r="B28" s="119" t="s">
        <v>82</v>
      </c>
      <c r="C28" s="121" t="str">
        <f t="shared" si="0"/>
        <v>618100 Documentation générale</v>
      </c>
    </row>
    <row r="29" spans="1:3" ht="17.149999999999999" customHeight="1" x14ac:dyDescent="0.25">
      <c r="A29" s="118">
        <v>618300</v>
      </c>
      <c r="B29" s="119" t="s">
        <v>83</v>
      </c>
      <c r="C29" s="121" t="str">
        <f t="shared" si="0"/>
        <v>618300 Documentation technique</v>
      </c>
    </row>
    <row r="30" spans="1:3" ht="17.149999999999999" customHeight="1" x14ac:dyDescent="0.25">
      <c r="A30" s="118">
        <v>618400</v>
      </c>
      <c r="B30" s="119" t="s">
        <v>136</v>
      </c>
      <c r="C30" s="121" t="str">
        <f t="shared" si="0"/>
        <v>618400 Formation</v>
      </c>
    </row>
    <row r="31" spans="1:3" ht="17.149999999999999" customHeight="1" x14ac:dyDescent="0.25">
      <c r="A31" s="118">
        <v>618500</v>
      </c>
      <c r="B31" s="119" t="s">
        <v>84</v>
      </c>
      <c r="C31" s="121" t="str">
        <f t="shared" si="0"/>
        <v>618500 Frais de colloques, séminaires, conférances…</v>
      </c>
    </row>
    <row r="32" spans="1:3" ht="17.149999999999999" customHeight="1" x14ac:dyDescent="0.25">
      <c r="A32" s="118">
        <v>622610</v>
      </c>
      <c r="B32" s="119" t="s">
        <v>85</v>
      </c>
      <c r="C32" s="121" t="str">
        <f t="shared" si="0"/>
        <v>622610 Expert-comptable</v>
      </c>
    </row>
    <row r="33" spans="1:3" ht="17.149999999999999" customHeight="1" x14ac:dyDescent="0.25">
      <c r="A33" s="118">
        <v>622620</v>
      </c>
      <c r="B33" s="119" t="s">
        <v>86</v>
      </c>
      <c r="C33" s="121" t="str">
        <f t="shared" si="0"/>
        <v>622620 Avocat</v>
      </c>
    </row>
    <row r="34" spans="1:3" ht="17.149999999999999" customHeight="1" x14ac:dyDescent="0.25">
      <c r="A34" s="118">
        <v>622630</v>
      </c>
      <c r="B34" s="119" t="s">
        <v>87</v>
      </c>
      <c r="C34" s="121" t="str">
        <f t="shared" si="0"/>
        <v>622630 Médecins et kinés</v>
      </c>
    </row>
    <row r="35" spans="1:3" ht="17.149999999999999" customHeight="1" x14ac:dyDescent="0.25">
      <c r="A35" s="118">
        <v>622640</v>
      </c>
      <c r="B35" s="119" t="s">
        <v>88</v>
      </c>
      <c r="C35" s="121" t="str">
        <f t="shared" si="0"/>
        <v>622640 Autres honoraires</v>
      </c>
    </row>
    <row r="36" spans="1:3" ht="17.149999999999999" customHeight="1" x14ac:dyDescent="0.25">
      <c r="A36" s="118">
        <v>622700</v>
      </c>
      <c r="B36" s="119" t="s">
        <v>89</v>
      </c>
      <c r="C36" s="121" t="str">
        <f t="shared" si="0"/>
        <v>622700 Frais d'actes et de contentieux</v>
      </c>
    </row>
    <row r="37" spans="1:3" ht="17.149999999999999" customHeight="1" x14ac:dyDescent="0.25">
      <c r="A37" s="118">
        <v>623100</v>
      </c>
      <c r="B37" s="119" t="s">
        <v>90</v>
      </c>
      <c r="C37" s="121" t="str">
        <f t="shared" si="0"/>
        <v>623100 Annonces et insertions</v>
      </c>
    </row>
    <row r="38" spans="1:3" ht="17.149999999999999" customHeight="1" x14ac:dyDescent="0.25">
      <c r="A38" s="118">
        <v>623300</v>
      </c>
      <c r="B38" s="119" t="s">
        <v>91</v>
      </c>
      <c r="C38" s="121" t="str">
        <f t="shared" si="0"/>
        <v>623300 Expositions</v>
      </c>
    </row>
    <row r="39" spans="1:3" ht="17.149999999999999" customHeight="1" x14ac:dyDescent="0.25">
      <c r="A39" s="118">
        <v>623600</v>
      </c>
      <c r="B39" s="119" t="s">
        <v>92</v>
      </c>
      <c r="C39" s="121" t="str">
        <f t="shared" si="0"/>
        <v>623600 Dépliants et imprimés</v>
      </c>
    </row>
    <row r="40" spans="1:3" ht="17.149999999999999" customHeight="1" x14ac:dyDescent="0.25">
      <c r="A40" s="118">
        <v>623700</v>
      </c>
      <c r="B40" s="119" t="s">
        <v>93</v>
      </c>
      <c r="C40" s="121" t="str">
        <f t="shared" si="0"/>
        <v>623700 Publications</v>
      </c>
    </row>
    <row r="41" spans="1:3" ht="17.149999999999999" customHeight="1" x14ac:dyDescent="0.25">
      <c r="A41" s="118">
        <v>625121</v>
      </c>
      <c r="B41" s="119" t="s">
        <v>96</v>
      </c>
      <c r="C41" s="121" t="str">
        <f t="shared" si="0"/>
        <v>625121 Déplacements sports individuels niveau national et +</v>
      </c>
    </row>
    <row r="42" spans="1:3" ht="17.149999999999999" customHeight="1" x14ac:dyDescent="0.25">
      <c r="A42" s="118">
        <v>625122</v>
      </c>
      <c r="B42" s="119" t="s">
        <v>97</v>
      </c>
      <c r="C42" s="121" t="str">
        <f t="shared" si="0"/>
        <v>625122 Déplacements sports individuels niveau régional et -</v>
      </c>
    </row>
    <row r="43" spans="1:3" ht="17.149999999999999" customHeight="1" x14ac:dyDescent="0.25">
      <c r="A43" s="118">
        <v>625130</v>
      </c>
      <c r="B43" s="119" t="s">
        <v>22</v>
      </c>
      <c r="C43" s="121" t="str">
        <f t="shared" si="0"/>
        <v>625130 Stages</v>
      </c>
    </row>
    <row r="44" spans="1:3" ht="17.149999999999999" customHeight="1" x14ac:dyDescent="0.25">
      <c r="A44" s="118">
        <v>625140</v>
      </c>
      <c r="B44" s="119" t="s">
        <v>98</v>
      </c>
      <c r="C44" s="121" t="str">
        <f t="shared" si="0"/>
        <v>625140 Déplacements du personnel</v>
      </c>
    </row>
    <row r="45" spans="1:3" ht="17.149999999999999" customHeight="1" x14ac:dyDescent="0.25">
      <c r="A45" s="118">
        <v>625600</v>
      </c>
      <c r="B45" s="119" t="s">
        <v>99</v>
      </c>
      <c r="C45" s="121" t="str">
        <f t="shared" si="0"/>
        <v>625600 Missions</v>
      </c>
    </row>
    <row r="46" spans="1:3" ht="17.149999999999999" customHeight="1" x14ac:dyDescent="0.25">
      <c r="A46" s="118">
        <v>625700</v>
      </c>
      <c r="B46" s="119" t="s">
        <v>100</v>
      </c>
      <c r="C46" s="121" t="str">
        <f t="shared" si="0"/>
        <v>625700 Réceptions</v>
      </c>
    </row>
    <row r="47" spans="1:3" ht="17.149999999999999" customHeight="1" x14ac:dyDescent="0.25">
      <c r="A47" s="118">
        <v>625900</v>
      </c>
      <c r="B47" s="119" t="s">
        <v>101</v>
      </c>
      <c r="C47" s="121" t="str">
        <f t="shared" si="0"/>
        <v>625900 Déplacements des bénévoles</v>
      </c>
    </row>
    <row r="48" spans="1:3" ht="17.149999999999999" customHeight="1" x14ac:dyDescent="0.25">
      <c r="A48" s="118">
        <v>626100</v>
      </c>
      <c r="B48" s="119" t="s">
        <v>102</v>
      </c>
      <c r="C48" s="121" t="str">
        <f t="shared" si="0"/>
        <v>626100 Affranchissements</v>
      </c>
    </row>
    <row r="49" spans="1:3" ht="17.149999999999999" customHeight="1" x14ac:dyDescent="0.25">
      <c r="A49" s="118">
        <v>626200</v>
      </c>
      <c r="B49" s="119" t="s">
        <v>103</v>
      </c>
      <c r="C49" s="121" t="str">
        <f t="shared" si="0"/>
        <v>626200 Téléphone</v>
      </c>
    </row>
    <row r="50" spans="1:3" ht="17.149999999999999" customHeight="1" x14ac:dyDescent="0.25">
      <c r="A50" s="118">
        <v>627800</v>
      </c>
      <c r="B50" s="119" t="s">
        <v>104</v>
      </c>
      <c r="C50" s="121" t="str">
        <f t="shared" si="0"/>
        <v>627800 Frais et commissions sur services bancaires</v>
      </c>
    </row>
    <row r="51" spans="1:3" ht="17.149999999999999" customHeight="1" x14ac:dyDescent="0.25">
      <c r="A51" s="118">
        <v>628100</v>
      </c>
      <c r="B51" s="119" t="s">
        <v>105</v>
      </c>
      <c r="C51" s="121" t="str">
        <f t="shared" si="0"/>
        <v>628100 Cotisations fédérales</v>
      </c>
    </row>
    <row r="52" spans="1:3" ht="17.149999999999999" customHeight="1" x14ac:dyDescent="0.25">
      <c r="A52" s="118">
        <v>628200</v>
      </c>
      <c r="B52" s="119" t="s">
        <v>106</v>
      </c>
      <c r="C52" s="121" t="str">
        <f t="shared" si="0"/>
        <v>628200 Cotisations régionales et départementales</v>
      </c>
    </row>
    <row r="53" spans="1:3" ht="17.149999999999999" customHeight="1" x14ac:dyDescent="0.25">
      <c r="A53" s="118">
        <v>631100</v>
      </c>
      <c r="B53" s="119" t="s">
        <v>107</v>
      </c>
      <c r="C53" s="121" t="str">
        <f t="shared" si="0"/>
        <v>631100 Taxe sur les salaires</v>
      </c>
    </row>
    <row r="54" spans="1:3" ht="17.149999999999999" customHeight="1" x14ac:dyDescent="0.25">
      <c r="A54" s="118">
        <v>633200</v>
      </c>
      <c r="B54" s="119" t="s">
        <v>108</v>
      </c>
      <c r="C54" s="121" t="str">
        <f t="shared" si="0"/>
        <v>633200 Taxe d'apprentissage</v>
      </c>
    </row>
    <row r="55" spans="1:3" ht="17.149999999999999" customHeight="1" x14ac:dyDescent="0.25">
      <c r="A55" s="118">
        <v>633300</v>
      </c>
      <c r="B55" s="119" t="s">
        <v>109</v>
      </c>
      <c r="C55" s="121" t="str">
        <f t="shared" si="0"/>
        <v>633300 Formation professionnelle</v>
      </c>
    </row>
    <row r="56" spans="1:3" ht="17.149999999999999" customHeight="1" x14ac:dyDescent="0.25">
      <c r="A56" s="118">
        <v>633400</v>
      </c>
      <c r="B56" s="119" t="s">
        <v>110</v>
      </c>
      <c r="C56" s="121" t="str">
        <f t="shared" si="0"/>
        <v>633400 Participation à l'effort de construction</v>
      </c>
    </row>
    <row r="57" spans="1:3" ht="17.149999999999999" customHeight="1" x14ac:dyDescent="0.25">
      <c r="A57" s="118">
        <v>635400</v>
      </c>
      <c r="B57" s="119" t="s">
        <v>111</v>
      </c>
      <c r="C57" s="121" t="str">
        <f t="shared" si="0"/>
        <v>635400 Droits d'enregistrement et timbres</v>
      </c>
    </row>
    <row r="58" spans="1:3" ht="17.149999999999999" customHeight="1" x14ac:dyDescent="0.25">
      <c r="A58" s="118">
        <v>637500</v>
      </c>
      <c r="B58" s="119" t="s">
        <v>112</v>
      </c>
      <c r="C58" s="121" t="str">
        <f t="shared" si="0"/>
        <v>637500 Sacem</v>
      </c>
    </row>
    <row r="59" spans="1:3" ht="17.149999999999999" customHeight="1" x14ac:dyDescent="0.25">
      <c r="A59" s="118">
        <v>641100</v>
      </c>
      <c r="B59" s="119" t="s">
        <v>54</v>
      </c>
      <c r="C59" s="121" t="str">
        <f t="shared" si="0"/>
        <v>641100 Personnel administratif</v>
      </c>
    </row>
    <row r="60" spans="1:3" ht="17.149999999999999" customHeight="1" x14ac:dyDescent="0.25">
      <c r="A60" s="118">
        <v>641200</v>
      </c>
      <c r="B60" s="119" t="s">
        <v>55</v>
      </c>
      <c r="C60" s="121" t="str">
        <f t="shared" si="0"/>
        <v>641200 Personnel encadrement technique</v>
      </c>
    </row>
    <row r="61" spans="1:3" ht="17.149999999999999" customHeight="1" x14ac:dyDescent="0.25">
      <c r="A61" s="118">
        <v>641300</v>
      </c>
      <c r="B61" s="119" t="s">
        <v>56</v>
      </c>
      <c r="C61" s="121" t="str">
        <f t="shared" si="0"/>
        <v>641300 Personnel joueurs</v>
      </c>
    </row>
    <row r="62" spans="1:3" ht="17.149999999999999" customHeight="1" x14ac:dyDescent="0.25">
      <c r="A62" s="118">
        <v>645100</v>
      </c>
      <c r="B62" s="119" t="s">
        <v>57</v>
      </c>
      <c r="C62" s="121" t="str">
        <f t="shared" si="0"/>
        <v>645100 Cotisations URSSAF</v>
      </c>
    </row>
    <row r="63" spans="1:3" ht="17.149999999999999" customHeight="1" x14ac:dyDescent="0.25">
      <c r="A63" s="118">
        <v>645300</v>
      </c>
      <c r="B63" s="119" t="s">
        <v>58</v>
      </c>
      <c r="C63" s="121" t="str">
        <f t="shared" si="0"/>
        <v>645300 Cotisations aux caisses de retraite</v>
      </c>
    </row>
    <row r="64" spans="1:3" ht="17.149999999999999" customHeight="1" x14ac:dyDescent="0.25">
      <c r="A64" s="118">
        <v>645400</v>
      </c>
      <c r="B64" s="119" t="s">
        <v>59</v>
      </c>
      <c r="C64" s="121" t="str">
        <f t="shared" si="0"/>
        <v>645400 Cotisations aux ASSEDIC</v>
      </c>
    </row>
    <row r="65" spans="1:3" ht="17.149999999999999" customHeight="1" x14ac:dyDescent="0.25">
      <c r="A65" s="118">
        <v>645500</v>
      </c>
      <c r="B65" s="119" t="s">
        <v>172</v>
      </c>
      <c r="C65" s="121" t="str">
        <f t="shared" si="0"/>
        <v>645500 Cotisations de prévoyance</v>
      </c>
    </row>
    <row r="66" spans="1:3" ht="17.149999999999999" customHeight="1" x14ac:dyDescent="0.25">
      <c r="A66" s="118">
        <v>647500</v>
      </c>
      <c r="B66" s="119" t="s">
        <v>60</v>
      </c>
      <c r="C66" s="121" t="str">
        <f t="shared" si="0"/>
        <v>647500 Médecine du travail</v>
      </c>
    </row>
    <row r="67" spans="1:3" ht="17.149999999999999" customHeight="1" x14ac:dyDescent="0.25">
      <c r="A67" s="118">
        <v>652100</v>
      </c>
      <c r="B67" s="119" t="s">
        <v>43</v>
      </c>
      <c r="C67" s="121" t="str">
        <f t="shared" si="0"/>
        <v>652100 Licences</v>
      </c>
    </row>
    <row r="68" spans="1:3" ht="17.149999999999999" customHeight="1" x14ac:dyDescent="0.25">
      <c r="A68" s="118">
        <v>652105</v>
      </c>
      <c r="B68" s="119" t="s">
        <v>152</v>
      </c>
      <c r="C68" s="121" t="str">
        <f t="shared" ref="C68:C117" si="1">CONCATENATE(A68," ",B68)</f>
        <v>652105 droits de mutation</v>
      </c>
    </row>
    <row r="69" spans="1:3" ht="17.149999999999999" customHeight="1" x14ac:dyDescent="0.25">
      <c r="A69" s="118">
        <v>652110</v>
      </c>
      <c r="B69" s="119" t="s">
        <v>44</v>
      </c>
      <c r="C69" s="121" t="str">
        <f t="shared" si="1"/>
        <v>652110 Assurances individuelles</v>
      </c>
    </row>
    <row r="70" spans="1:3" ht="17.149999999999999" customHeight="1" x14ac:dyDescent="0.25">
      <c r="A70" s="118">
        <v>652221</v>
      </c>
      <c r="B70" s="119" t="s">
        <v>47</v>
      </c>
      <c r="C70" s="121" t="str">
        <f t="shared" si="1"/>
        <v>652221 Engagements sports individuels national et +</v>
      </c>
    </row>
    <row r="71" spans="1:3" ht="17.149999999999999" customHeight="1" x14ac:dyDescent="0.25">
      <c r="A71" s="118">
        <v>652222</v>
      </c>
      <c r="B71" s="119" t="s">
        <v>48</v>
      </c>
      <c r="C71" s="121" t="str">
        <f t="shared" si="1"/>
        <v>652222 Engagements sports individuels régional et -</v>
      </c>
    </row>
    <row r="72" spans="1:3" ht="17.149999999999999" customHeight="1" x14ac:dyDescent="0.25">
      <c r="A72" s="118">
        <v>658000</v>
      </c>
      <c r="B72" s="119" t="s">
        <v>49</v>
      </c>
      <c r="C72" s="121" t="str">
        <f t="shared" si="1"/>
        <v>658000 Charges diverses de gestion courante</v>
      </c>
    </row>
    <row r="73" spans="1:3" ht="17.149999999999999" customHeight="1" x14ac:dyDescent="0.25">
      <c r="A73" s="118">
        <v>659100</v>
      </c>
      <c r="B73" s="119" t="s">
        <v>50</v>
      </c>
      <c r="C73" s="121" t="str">
        <f t="shared" si="1"/>
        <v>659100 Subvention du C.A.</v>
      </c>
    </row>
    <row r="74" spans="1:3" ht="17.149999999999999" customHeight="1" x14ac:dyDescent="0.25">
      <c r="A74" s="118">
        <v>659200</v>
      </c>
      <c r="B74" s="119" t="s">
        <v>51</v>
      </c>
      <c r="C74" s="121" t="str">
        <f t="shared" si="1"/>
        <v>659200 Rétrocession de subvention spécifique communale</v>
      </c>
    </row>
    <row r="75" spans="1:3" ht="17.149999999999999" customHeight="1" x14ac:dyDescent="0.25">
      <c r="A75" s="118">
        <v>659300</v>
      </c>
      <c r="B75" s="119" t="s">
        <v>52</v>
      </c>
      <c r="C75" s="121" t="str">
        <f t="shared" si="1"/>
        <v>659300 Rétrocession de subvention spécifique départementale</v>
      </c>
    </row>
    <row r="76" spans="1:3" ht="17.149999999999999" customHeight="1" x14ac:dyDescent="0.25">
      <c r="A76" s="118">
        <v>659400</v>
      </c>
      <c r="B76" s="119" t="s">
        <v>53</v>
      </c>
      <c r="C76" s="121" t="str">
        <f t="shared" si="1"/>
        <v>659400 Rétrocession de subvention spécifique nationale</v>
      </c>
    </row>
    <row r="77" spans="1:3" ht="17.149999999999999" customHeight="1" x14ac:dyDescent="0.25">
      <c r="A77" s="118">
        <v>661100</v>
      </c>
      <c r="B77" s="119" t="s">
        <v>113</v>
      </c>
      <c r="C77" s="121" t="str">
        <f t="shared" si="1"/>
        <v>661100 Intérêts sur emprunts</v>
      </c>
    </row>
    <row r="78" spans="1:3" ht="17.149999999999999" customHeight="1" x14ac:dyDescent="0.25">
      <c r="A78" s="118">
        <v>661600</v>
      </c>
      <c r="B78" s="119" t="s">
        <v>114</v>
      </c>
      <c r="C78" s="121" t="str">
        <f t="shared" si="1"/>
        <v>661600 Intérêts bancaires</v>
      </c>
    </row>
    <row r="79" spans="1:3" ht="17.149999999999999" customHeight="1" x14ac:dyDescent="0.25">
      <c r="A79" s="118">
        <v>706115</v>
      </c>
      <c r="B79" s="119" t="s">
        <v>22</v>
      </c>
      <c r="C79" s="121" t="str">
        <f t="shared" si="1"/>
        <v>706115 Stages</v>
      </c>
    </row>
    <row r="80" spans="1:3" ht="17.149999999999999" customHeight="1" x14ac:dyDescent="0.25">
      <c r="A80" s="118">
        <v>706251</v>
      </c>
      <c r="B80" s="119" t="s">
        <v>23</v>
      </c>
      <c r="C80" s="121" t="str">
        <f t="shared" si="1"/>
        <v>706251 Exploitation buvette</v>
      </c>
    </row>
    <row r="81" spans="1:3" ht="17.149999999999999" customHeight="1" x14ac:dyDescent="0.25">
      <c r="A81" s="118">
        <v>706252</v>
      </c>
      <c r="B81" s="119" t="s">
        <v>24</v>
      </c>
      <c r="C81" s="121" t="str">
        <f t="shared" si="1"/>
        <v>706252 Exploitation restaurant</v>
      </c>
    </row>
    <row r="82" spans="1:3" ht="17.149999999999999" customHeight="1" x14ac:dyDescent="0.25">
      <c r="A82" s="118">
        <v>706254</v>
      </c>
      <c r="B82" s="119" t="s">
        <v>25</v>
      </c>
      <c r="C82" s="121" t="str">
        <f t="shared" si="1"/>
        <v>706254 Prestations publicitaires</v>
      </c>
    </row>
    <row r="83" spans="1:3" ht="17.149999999999999" customHeight="1" x14ac:dyDescent="0.25">
      <c r="A83" s="118">
        <v>707110</v>
      </c>
      <c r="B83" s="119" t="s">
        <v>26</v>
      </c>
      <c r="C83" s="121" t="str">
        <f t="shared" si="1"/>
        <v>707110 Ventes aux adhérents de matériel sportif</v>
      </c>
    </row>
    <row r="84" spans="1:3" ht="17.149999999999999" customHeight="1" x14ac:dyDescent="0.25">
      <c r="A84" s="118">
        <v>707120</v>
      </c>
      <c r="B84" s="119" t="s">
        <v>27</v>
      </c>
      <c r="C84" s="121" t="str">
        <f t="shared" si="1"/>
        <v>707120 Ventes aux adhérents d'équipements sportifs</v>
      </c>
    </row>
    <row r="85" spans="1:3" ht="17.149999999999999" customHeight="1" x14ac:dyDescent="0.25">
      <c r="A85" s="118">
        <v>707150</v>
      </c>
      <c r="B85" s="119" t="s">
        <v>28</v>
      </c>
      <c r="C85" s="121" t="str">
        <f t="shared" si="1"/>
        <v>707150 Ventes aux adhérents d'insignes, fanions, écussons…..</v>
      </c>
    </row>
    <row r="86" spans="1:3" ht="17.149999999999999" customHeight="1" x14ac:dyDescent="0.25">
      <c r="A86" s="118">
        <v>707160</v>
      </c>
      <c r="B86" s="119" t="s">
        <v>29</v>
      </c>
      <c r="C86" s="121" t="str">
        <f t="shared" si="1"/>
        <v>707160 Ventes aux adhérents de livres, brochures…..</v>
      </c>
    </row>
    <row r="87" spans="1:3" ht="17.149999999999999" customHeight="1" x14ac:dyDescent="0.25">
      <c r="A87" s="118">
        <v>707210</v>
      </c>
      <c r="B87" s="119" t="s">
        <v>30</v>
      </c>
      <c r="C87" s="121" t="str">
        <f t="shared" si="1"/>
        <v>707210 Ventes à des tiers de matériel sportif</v>
      </c>
    </row>
    <row r="88" spans="1:3" ht="17.149999999999999" customHeight="1" x14ac:dyDescent="0.25">
      <c r="A88" s="118">
        <v>707220</v>
      </c>
      <c r="B88" s="119" t="s">
        <v>31</v>
      </c>
      <c r="C88" s="121" t="str">
        <f t="shared" si="1"/>
        <v>707220 Ventes à des tiers d'équipements sportifs</v>
      </c>
    </row>
    <row r="89" spans="1:3" ht="17.149999999999999" customHeight="1" x14ac:dyDescent="0.25">
      <c r="A89" s="118">
        <v>707250</v>
      </c>
      <c r="B89" s="119" t="s">
        <v>32</v>
      </c>
      <c r="C89" s="121" t="str">
        <f t="shared" si="1"/>
        <v>707250 Ventes à des tiers d'insignes, fanions, écussons…..</v>
      </c>
    </row>
    <row r="90" spans="1:3" ht="17.149999999999999" customHeight="1" x14ac:dyDescent="0.25">
      <c r="A90" s="118">
        <v>707260</v>
      </c>
      <c r="B90" s="119" t="s">
        <v>33</v>
      </c>
      <c r="C90" s="121" t="str">
        <f t="shared" si="1"/>
        <v>707260 Ventes à des tiers de livres, brochures…..</v>
      </c>
    </row>
    <row r="91" spans="1:3" ht="17.149999999999999" customHeight="1" x14ac:dyDescent="0.25">
      <c r="A91" s="118">
        <v>708100</v>
      </c>
      <c r="B91" s="119" t="s">
        <v>34</v>
      </c>
      <c r="C91" s="121" t="str">
        <f t="shared" si="1"/>
        <v>708100 Billets d'entrée aux manifestations</v>
      </c>
    </row>
    <row r="92" spans="1:3" ht="17.149999999999999" customHeight="1" x14ac:dyDescent="0.25">
      <c r="A92" s="118">
        <v>708200</v>
      </c>
      <c r="B92" s="119" t="s">
        <v>35</v>
      </c>
      <c r="C92" s="121" t="str">
        <f t="shared" si="1"/>
        <v>708200 Droits d'engagements perçus</v>
      </c>
    </row>
    <row r="93" spans="1:3" ht="17.149999999999999" customHeight="1" x14ac:dyDescent="0.25">
      <c r="A93" s="118">
        <v>708810</v>
      </c>
      <c r="B93" s="119" t="s">
        <v>36</v>
      </c>
      <c r="C93" s="121" t="str">
        <f t="shared" si="1"/>
        <v>708810 Remboursements fédération</v>
      </c>
    </row>
    <row r="94" spans="1:3" ht="17.149999999999999" customHeight="1" x14ac:dyDescent="0.25">
      <c r="A94" s="118">
        <v>708820</v>
      </c>
      <c r="B94" s="119" t="s">
        <v>37</v>
      </c>
      <c r="C94" s="121" t="str">
        <f t="shared" si="1"/>
        <v>708820 Remboursements instance régionale</v>
      </c>
    </row>
    <row r="95" spans="1:3" ht="17.149999999999999" customHeight="1" x14ac:dyDescent="0.25">
      <c r="A95" s="118">
        <v>708830</v>
      </c>
      <c r="B95" s="119" t="s">
        <v>38</v>
      </c>
      <c r="C95" s="121" t="str">
        <f t="shared" si="1"/>
        <v>708830 Remboursements instance départementale</v>
      </c>
    </row>
    <row r="96" spans="1:3" ht="17.149999999999999" customHeight="1" x14ac:dyDescent="0.25">
      <c r="A96" s="118">
        <v>708840</v>
      </c>
      <c r="B96" s="119" t="s">
        <v>39</v>
      </c>
      <c r="C96" s="121" t="str">
        <f t="shared" si="1"/>
        <v>708840 Remboursements autres clubs</v>
      </c>
    </row>
    <row r="97" spans="1:3" ht="17.149999999999999" customHeight="1" x14ac:dyDescent="0.25">
      <c r="A97" s="118">
        <v>708850</v>
      </c>
      <c r="B97" s="119" t="s">
        <v>40</v>
      </c>
      <c r="C97" s="121" t="str">
        <f t="shared" si="1"/>
        <v>708850 Remboursements divers</v>
      </c>
    </row>
    <row r="98" spans="1:3" ht="17.149999999999999" customHeight="1" x14ac:dyDescent="0.25">
      <c r="A98" s="118">
        <v>740100</v>
      </c>
      <c r="B98" s="119" t="s">
        <v>4</v>
      </c>
      <c r="C98" s="121" t="str">
        <f t="shared" si="1"/>
        <v>740100 Subvention municipale</v>
      </c>
    </row>
    <row r="99" spans="1:3" ht="17.149999999999999" customHeight="1" x14ac:dyDescent="0.25">
      <c r="A99" s="118">
        <v>740200</v>
      </c>
      <c r="B99" s="119" t="s">
        <v>5</v>
      </c>
      <c r="C99" s="121" t="str">
        <f t="shared" si="1"/>
        <v>740200 Subvention départementale</v>
      </c>
    </row>
    <row r="100" spans="1:3" ht="17.149999999999999" customHeight="1" x14ac:dyDescent="0.25">
      <c r="A100" s="118">
        <v>740300</v>
      </c>
      <c r="B100" s="119" t="s">
        <v>6</v>
      </c>
      <c r="C100" s="121" t="str">
        <f t="shared" si="1"/>
        <v>740300 Subvention régionale</v>
      </c>
    </row>
    <row r="101" spans="1:3" ht="17.149999999999999" customHeight="1" x14ac:dyDescent="0.25">
      <c r="A101" s="118">
        <v>740400</v>
      </c>
      <c r="B101" s="119" t="s">
        <v>7</v>
      </c>
      <c r="C101" s="121" t="str">
        <f t="shared" si="1"/>
        <v>740400 Subvention d'Etat</v>
      </c>
    </row>
    <row r="102" spans="1:3" ht="17.149999999999999" customHeight="1" x14ac:dyDescent="0.25">
      <c r="A102" s="118">
        <v>740500</v>
      </c>
      <c r="B102" s="119" t="s">
        <v>8</v>
      </c>
      <c r="C102" s="121" t="str">
        <f t="shared" si="1"/>
        <v>740500 Subvention des fédérations</v>
      </c>
    </row>
    <row r="103" spans="1:3" ht="17.149999999999999" customHeight="1" x14ac:dyDescent="0.25">
      <c r="A103" s="118">
        <v>740600</v>
      </c>
      <c r="B103" s="119" t="s">
        <v>9</v>
      </c>
      <c r="C103" s="121" t="str">
        <f t="shared" si="1"/>
        <v>740600 Autres subventions</v>
      </c>
    </row>
    <row r="104" spans="1:3" ht="17.149999999999999" customHeight="1" x14ac:dyDescent="0.25">
      <c r="A104" s="118">
        <v>740900</v>
      </c>
      <c r="B104" s="119" t="s">
        <v>10</v>
      </c>
      <c r="C104" s="121" t="str">
        <f t="shared" si="1"/>
        <v>740900 Subvention du Conseil d'Administration</v>
      </c>
    </row>
    <row r="105" spans="1:3" ht="17.149999999999999" customHeight="1" x14ac:dyDescent="0.25">
      <c r="A105" s="118">
        <v>740910</v>
      </c>
      <c r="B105" s="119" t="s">
        <v>11</v>
      </c>
      <c r="C105" s="121" t="str">
        <f t="shared" si="1"/>
        <v>740910 Subvention du C.A. de l'année précédente</v>
      </c>
    </row>
    <row r="106" spans="1:3" ht="17.149999999999999" customHeight="1" x14ac:dyDescent="0.25">
      <c r="A106" s="118">
        <v>740920</v>
      </c>
      <c r="B106" s="119" t="s">
        <v>12</v>
      </c>
      <c r="C106" s="121" t="str">
        <f t="shared" si="1"/>
        <v>740920 Avance sur subvention du C.A. de l'année suivante</v>
      </c>
    </row>
    <row r="107" spans="1:3" ht="17.149999999999999" customHeight="1" x14ac:dyDescent="0.25">
      <c r="A107" s="118">
        <v>756100</v>
      </c>
      <c r="B107" s="119" t="s">
        <v>15</v>
      </c>
      <c r="C107" s="121" t="str">
        <f t="shared" si="1"/>
        <v>756100 Cotisations des membres actifs</v>
      </c>
    </row>
    <row r="108" spans="1:3" ht="17.149999999999999" customHeight="1" x14ac:dyDescent="0.25">
      <c r="A108" s="118">
        <v>756300</v>
      </c>
      <c r="B108" s="119" t="s">
        <v>16</v>
      </c>
      <c r="C108" s="121" t="str">
        <f t="shared" si="1"/>
        <v>756300 Cotisations des membres honoraires</v>
      </c>
    </row>
    <row r="109" spans="1:3" ht="17.149999999999999" customHeight="1" x14ac:dyDescent="0.25">
      <c r="A109" s="118">
        <v>756400</v>
      </c>
      <c r="B109" s="119" t="s">
        <v>17</v>
      </c>
      <c r="C109" s="121" t="str">
        <f t="shared" si="1"/>
        <v>756400 Cotisations des membres bienfaiteurs</v>
      </c>
    </row>
    <row r="110" spans="1:3" ht="17.149999999999999" customHeight="1" x14ac:dyDescent="0.25">
      <c r="A110" s="118">
        <v>756800</v>
      </c>
      <c r="B110" s="119" t="s">
        <v>18</v>
      </c>
      <c r="C110" s="121" t="str">
        <f t="shared" si="1"/>
        <v>756800 Droits d'entrée des membres</v>
      </c>
    </row>
    <row r="111" spans="1:3" ht="17.149999999999999" customHeight="1" x14ac:dyDescent="0.25">
      <c r="A111" s="118">
        <v>756900</v>
      </c>
      <c r="B111" s="125" t="s">
        <v>155</v>
      </c>
      <c r="C111" s="121" t="str">
        <f t="shared" si="1"/>
        <v>756900 Compensation de mutation</v>
      </c>
    </row>
    <row r="112" spans="1:3" ht="17.149999999999999" customHeight="1" x14ac:dyDescent="0.25">
      <c r="A112" s="118">
        <v>758100</v>
      </c>
      <c r="B112" s="119" t="s">
        <v>19</v>
      </c>
      <c r="C112" s="121" t="str">
        <f t="shared" si="1"/>
        <v>758100 Dons et collectes auprès des particuliers</v>
      </c>
    </row>
    <row r="113" spans="1:3" ht="17.149999999999999" customHeight="1" x14ac:dyDescent="0.25">
      <c r="A113" s="118">
        <v>758200</v>
      </c>
      <c r="B113" s="119" t="s">
        <v>20</v>
      </c>
      <c r="C113" s="121" t="str">
        <f t="shared" si="1"/>
        <v>758200 Dons et collectes auprès des entreprises</v>
      </c>
    </row>
    <row r="114" spans="1:3" ht="17.149999999999999" customHeight="1" x14ac:dyDescent="0.25">
      <c r="A114" s="118">
        <v>758300</v>
      </c>
      <c r="B114" s="119" t="s">
        <v>21</v>
      </c>
      <c r="C114" s="121" t="str">
        <f t="shared" si="1"/>
        <v>758300 Dons des bénévoles de l'association</v>
      </c>
    </row>
    <row r="115" spans="1:3" ht="17.149999999999999" customHeight="1" x14ac:dyDescent="0.25">
      <c r="A115" s="118">
        <v>767000</v>
      </c>
      <c r="B115" s="119" t="s">
        <v>41</v>
      </c>
      <c r="C115" s="121" t="str">
        <f t="shared" si="1"/>
        <v>767000 Produits nets sur cessions de valeurs mobilières</v>
      </c>
    </row>
    <row r="116" spans="1:3" ht="17.149999999999999" customHeight="1" x14ac:dyDescent="0.25">
      <c r="A116" s="118">
        <v>768000</v>
      </c>
      <c r="B116" s="125" t="s">
        <v>42</v>
      </c>
      <c r="C116" s="121" t="str">
        <f t="shared" si="1"/>
        <v>768000 Autres produits financiers</v>
      </c>
    </row>
    <row r="117" spans="1:3" x14ac:dyDescent="0.25">
      <c r="C117" s="120" t="str">
        <f t="shared" si="1"/>
        <v xml:space="preserve"> </v>
      </c>
    </row>
  </sheetData>
  <sortState xmlns:xlrd2="http://schemas.microsoft.com/office/spreadsheetml/2017/richdata2" ref="A3:B117">
    <sortCondition ref="A3:A117"/>
  </sortState>
  <mergeCells count="1">
    <mergeCell ref="A1:C1"/>
  </mergeCells>
  <pageMargins left="0.55118110236220474" right="0.55118110236220474" top="0.78740157480314965" bottom="0.59055118110236227" header="0.51181102362204722" footer="0.51181102362204722"/>
  <pageSetup paperSize="9" scale="93" fitToHeight="6" orientation="landscape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81"/>
  <sheetViews>
    <sheetView view="pageBreakPreview" topLeftCell="A552" zoomScale="130" zoomScaleNormal="115" zoomScaleSheetLayoutView="130" zoomScalePageLayoutView="115" workbookViewId="0">
      <selection activeCell="F766" sqref="F766"/>
    </sheetView>
  </sheetViews>
  <sheetFormatPr baseColWidth="10" defaultRowHeight="12.5" x14ac:dyDescent="0.25"/>
  <cols>
    <col min="1" max="1" width="11.453125" customWidth="1"/>
    <col min="2" max="2" width="8.6328125" customWidth="1"/>
    <col min="3" max="3" width="45.6328125" customWidth="1"/>
    <col min="4" max="5" width="12.6328125" customWidth="1"/>
    <col min="6" max="6" width="15.6328125" customWidth="1"/>
    <col min="7" max="7" width="9.54296875" customWidth="1"/>
  </cols>
  <sheetData>
    <row r="1" spans="1:7" ht="12.75" customHeight="1" x14ac:dyDescent="0.25">
      <c r="A1" s="28"/>
      <c r="B1" s="28"/>
      <c r="C1" s="29"/>
      <c r="D1" s="30"/>
      <c r="E1" s="30"/>
      <c r="F1" s="30"/>
    </row>
    <row r="2" spans="1:7" ht="20.149999999999999" customHeight="1" x14ac:dyDescent="0.25">
      <c r="A2" s="28"/>
      <c r="B2" s="28"/>
      <c r="C2" s="78" t="s">
        <v>116</v>
      </c>
      <c r="D2" s="347" t="s">
        <v>174</v>
      </c>
      <c r="E2" s="348"/>
      <c r="F2" s="30"/>
    </row>
    <row r="3" spans="1:7" ht="12.75" customHeight="1" thickBot="1" x14ac:dyDescent="0.3">
      <c r="A3" s="28"/>
      <c r="B3" s="28"/>
      <c r="C3" s="29"/>
      <c r="D3" s="30"/>
      <c r="E3" s="30"/>
      <c r="F3" s="30"/>
    </row>
    <row r="4" spans="1:7" ht="39.9" customHeight="1" x14ac:dyDescent="0.25">
      <c r="A4" s="131" t="s">
        <v>175</v>
      </c>
      <c r="B4" s="132" t="s">
        <v>179</v>
      </c>
      <c r="C4" s="133" t="s">
        <v>176</v>
      </c>
      <c r="D4" s="134" t="s">
        <v>2</v>
      </c>
      <c r="E4" s="134" t="s">
        <v>3</v>
      </c>
      <c r="F4" s="135" t="s">
        <v>115</v>
      </c>
      <c r="G4" s="345" t="s">
        <v>181</v>
      </c>
    </row>
    <row r="5" spans="1:7" ht="20.149999999999999" customHeight="1" thickBot="1" x14ac:dyDescent="0.3">
      <c r="A5" s="31"/>
      <c r="B5" s="32"/>
      <c r="C5" s="32"/>
      <c r="D5" s="33"/>
      <c r="E5" s="34" t="s">
        <v>177</v>
      </c>
      <c r="F5" s="122">
        <f>Compta!G5</f>
        <v>0</v>
      </c>
      <c r="G5" s="346"/>
    </row>
    <row r="6" spans="1:7" ht="15" customHeight="1" x14ac:dyDescent="0.25">
      <c r="A6" s="108"/>
      <c r="B6" s="109"/>
      <c r="C6" s="110"/>
      <c r="D6" s="111"/>
      <c r="E6" s="111"/>
      <c r="F6" s="136"/>
      <c r="G6" s="129"/>
    </row>
    <row r="7" spans="1:7" ht="15" customHeight="1" x14ac:dyDescent="0.25">
      <c r="A7" s="42">
        <f>Compta!B7</f>
        <v>45536</v>
      </c>
      <c r="B7" s="43">
        <f>Compta!C7</f>
        <v>0</v>
      </c>
      <c r="C7" s="44" t="str">
        <f>Compta!D7</f>
        <v>Solde début de saison</v>
      </c>
      <c r="D7" s="144">
        <f>Compta!E7</f>
        <v>0</v>
      </c>
      <c r="E7" s="144">
        <f>Compta!F7</f>
        <v>0</v>
      </c>
      <c r="F7" s="136">
        <f>+F5+D7-E7</f>
        <v>0</v>
      </c>
      <c r="G7" s="130">
        <f>Compta!H7</f>
        <v>0</v>
      </c>
    </row>
    <row r="8" spans="1:7" ht="15" customHeight="1" x14ac:dyDescent="0.25">
      <c r="A8" s="42">
        <f>Compta!B9</f>
        <v>45536</v>
      </c>
      <c r="B8" s="43">
        <f>Compta!C9</f>
        <v>756800</v>
      </c>
      <c r="C8" s="44" t="str">
        <f>Compta!D9</f>
        <v>Régularisation Produits constatés d'avance - Cotisations 2024/2025</v>
      </c>
      <c r="D8" s="144">
        <f>Compta!E9</f>
        <v>4117.5</v>
      </c>
      <c r="E8" s="144">
        <f>Compta!F9</f>
        <v>0</v>
      </c>
      <c r="F8" s="136">
        <f t="shared" ref="F8:F71" si="0">+F6+D8-E8</f>
        <v>4117.5</v>
      </c>
      <c r="G8" s="130">
        <f>Compta!H9</f>
        <v>0</v>
      </c>
    </row>
    <row r="9" spans="1:7" ht="15" customHeight="1" x14ac:dyDescent="0.25">
      <c r="A9" s="42">
        <f>Compta!B10</f>
        <v>45536</v>
      </c>
      <c r="B9" s="43">
        <f>Compta!C10</f>
        <v>606400</v>
      </c>
      <c r="C9" s="44" t="str">
        <f>Compta!D10</f>
        <v>Régularisation Charges constatées d'avance - Cartes adhérents LPOL GV Fitness 2024/2025</v>
      </c>
      <c r="D9" s="144">
        <f>Compta!E10</f>
        <v>0</v>
      </c>
      <c r="E9" s="144">
        <f>Compta!F10</f>
        <v>198.74</v>
      </c>
      <c r="F9" s="136">
        <f t="shared" si="0"/>
        <v>-198.74</v>
      </c>
      <c r="G9" s="130">
        <f>Compta!H10</f>
        <v>0</v>
      </c>
    </row>
    <row r="10" spans="1:7" ht="15" customHeight="1" x14ac:dyDescent="0.25">
      <c r="A10" s="42">
        <f>Compta!B11</f>
        <v>45537</v>
      </c>
      <c r="B10" s="43">
        <f>Compta!C11</f>
        <v>756800</v>
      </c>
      <c r="C10" s="44" t="str">
        <f>Compta!D11</f>
        <v>Cotisations reçues par CB 24-25</v>
      </c>
      <c r="D10" s="144">
        <f>Compta!E11</f>
        <v>67.5</v>
      </c>
      <c r="E10" s="144">
        <f>Compta!F11</f>
        <v>0</v>
      </c>
      <c r="F10" s="136">
        <f t="shared" si="0"/>
        <v>4185</v>
      </c>
      <c r="G10" s="130" t="str">
        <f>Compta!H11</f>
        <v>Oui</v>
      </c>
    </row>
    <row r="11" spans="1:7" ht="15" customHeight="1" x14ac:dyDescent="0.25">
      <c r="A11" s="42">
        <f>Compta!B12</f>
        <v>45537</v>
      </c>
      <c r="B11" s="43">
        <f>Compta!C12</f>
        <v>756800</v>
      </c>
      <c r="C11" s="44" t="str">
        <f>Compta!D12</f>
        <v>Cotisations reçues par CB 24-25</v>
      </c>
      <c r="D11" s="144">
        <f>Compta!E12</f>
        <v>135</v>
      </c>
      <c r="E11" s="144">
        <f>Compta!F12</f>
        <v>0</v>
      </c>
      <c r="F11" s="136">
        <f t="shared" si="0"/>
        <v>-63.740000000000009</v>
      </c>
      <c r="G11" s="130" t="str">
        <f>Compta!H12</f>
        <v>Oui</v>
      </c>
    </row>
    <row r="12" spans="1:7" ht="15" customHeight="1" x14ac:dyDescent="0.25">
      <c r="A12" s="42">
        <f>Compta!B13</f>
        <v>45537</v>
      </c>
      <c r="B12" s="43">
        <f>Compta!C13</f>
        <v>756800</v>
      </c>
      <c r="C12" s="44" t="str">
        <f>Compta!D13</f>
        <v>Cotisations reçues par CB 24-25</v>
      </c>
      <c r="D12" s="144">
        <f>Compta!E13</f>
        <v>135</v>
      </c>
      <c r="E12" s="144">
        <f>Compta!F13</f>
        <v>0</v>
      </c>
      <c r="F12" s="136">
        <f t="shared" si="0"/>
        <v>4320</v>
      </c>
      <c r="G12" s="130" t="str">
        <f>Compta!H13</f>
        <v>Oui</v>
      </c>
    </row>
    <row r="13" spans="1:7" ht="15" customHeight="1" x14ac:dyDescent="0.25">
      <c r="A13" s="42">
        <f>Compta!B14</f>
        <v>45537</v>
      </c>
      <c r="B13" s="43">
        <f>Compta!C14</f>
        <v>628100</v>
      </c>
      <c r="C13" s="44" t="str">
        <f>Compta!D14</f>
        <v>Virement - Affiliation à la Fédération 2024/2025</v>
      </c>
      <c r="D13" s="144">
        <f>Compta!E14</f>
        <v>0</v>
      </c>
      <c r="E13" s="144">
        <f>Compta!F14</f>
        <v>80</v>
      </c>
      <c r="F13" s="136">
        <f t="shared" si="0"/>
        <v>-143.74</v>
      </c>
      <c r="G13" s="130" t="str">
        <f>Compta!H14</f>
        <v>Oui</v>
      </c>
    </row>
    <row r="14" spans="1:7" ht="15" customHeight="1" x14ac:dyDescent="0.25">
      <c r="A14" s="42">
        <f>Compta!B15</f>
        <v>45538</v>
      </c>
      <c r="B14" s="43">
        <f>Compta!C15</f>
        <v>756800</v>
      </c>
      <c r="C14" s="44" t="str">
        <f>Compta!D15</f>
        <v>Cotisations reçues par CB 24-25</v>
      </c>
      <c r="D14" s="144">
        <f>Compta!E15</f>
        <v>675</v>
      </c>
      <c r="E14" s="144">
        <f>Compta!F15</f>
        <v>0</v>
      </c>
      <c r="F14" s="136">
        <f t="shared" si="0"/>
        <v>4995</v>
      </c>
      <c r="G14" s="130" t="str">
        <f>Compta!H15</f>
        <v>Oui</v>
      </c>
    </row>
    <row r="15" spans="1:7" ht="15" customHeight="1" x14ac:dyDescent="0.25">
      <c r="A15" s="42">
        <f>Compta!B16</f>
        <v>45539</v>
      </c>
      <c r="B15" s="43">
        <f>Compta!C16</f>
        <v>756800</v>
      </c>
      <c r="C15" s="44" t="str">
        <f>Compta!D16</f>
        <v>Cotisations reçues par CB 24-25</v>
      </c>
      <c r="D15" s="144">
        <f>Compta!E16</f>
        <v>135</v>
      </c>
      <c r="E15" s="144">
        <f>Compta!F16</f>
        <v>0</v>
      </c>
      <c r="F15" s="136">
        <f t="shared" si="0"/>
        <v>-8.7400000000000091</v>
      </c>
      <c r="G15" s="130" t="str">
        <f>Compta!H16</f>
        <v>Oui</v>
      </c>
    </row>
    <row r="16" spans="1:7" ht="15" customHeight="1" x14ac:dyDescent="0.25">
      <c r="A16" s="42">
        <f>Compta!B17</f>
        <v>45540</v>
      </c>
      <c r="B16" s="43">
        <f>Compta!C17</f>
        <v>756800</v>
      </c>
      <c r="C16" s="44" t="str">
        <f>Compta!D17</f>
        <v>Cotisations reçues par CB 24-25</v>
      </c>
      <c r="D16" s="144">
        <f>Compta!E17</f>
        <v>675</v>
      </c>
      <c r="E16" s="144">
        <f>Compta!F17</f>
        <v>0</v>
      </c>
      <c r="F16" s="136">
        <f t="shared" si="0"/>
        <v>5670</v>
      </c>
      <c r="G16" s="130" t="str">
        <f>Compta!H17</f>
        <v>Oui</v>
      </c>
    </row>
    <row r="17" spans="1:7" ht="15" customHeight="1" x14ac:dyDescent="0.25">
      <c r="A17" s="42">
        <f>Compta!B18</f>
        <v>45541</v>
      </c>
      <c r="B17" s="43">
        <f>Compta!C18</f>
        <v>756800</v>
      </c>
      <c r="C17" s="44" t="str">
        <f>Compta!D18</f>
        <v>Cotisations reçues par CB 24-25</v>
      </c>
      <c r="D17" s="144">
        <f>Compta!E18</f>
        <v>202.5</v>
      </c>
      <c r="E17" s="144">
        <f>Compta!F18</f>
        <v>0</v>
      </c>
      <c r="F17" s="136">
        <f t="shared" si="0"/>
        <v>193.76</v>
      </c>
      <c r="G17" s="130" t="str">
        <f>Compta!H18</f>
        <v>Oui</v>
      </c>
    </row>
    <row r="18" spans="1:7" ht="15" customHeight="1" x14ac:dyDescent="0.25">
      <c r="A18" s="42">
        <f>Compta!B19</f>
        <v>45544</v>
      </c>
      <c r="B18" s="43">
        <f>Compta!C19</f>
        <v>756800</v>
      </c>
      <c r="C18" s="44" t="str">
        <f>Compta!D19</f>
        <v>Cotisations reçues par CB 24-25</v>
      </c>
      <c r="D18" s="144">
        <f>Compta!E19</f>
        <v>540</v>
      </c>
      <c r="E18" s="144">
        <f>Compta!F19</f>
        <v>0</v>
      </c>
      <c r="F18" s="136">
        <f t="shared" si="0"/>
        <v>6210</v>
      </c>
      <c r="G18" s="130" t="str">
        <f>Compta!H19</f>
        <v>Oui</v>
      </c>
    </row>
    <row r="19" spans="1:7" ht="15" customHeight="1" x14ac:dyDescent="0.25">
      <c r="A19" s="42">
        <f>Compta!B20</f>
        <v>45544</v>
      </c>
      <c r="B19" s="43">
        <f>Compta!C20</f>
        <v>756800</v>
      </c>
      <c r="C19" s="44" t="str">
        <f>Compta!D20</f>
        <v>Cotisations reçues par CB 24-25</v>
      </c>
      <c r="D19" s="144">
        <f>Compta!E20</f>
        <v>607.5</v>
      </c>
      <c r="E19" s="144">
        <f>Compta!F20</f>
        <v>0</v>
      </c>
      <c r="F19" s="136">
        <f t="shared" si="0"/>
        <v>801.26</v>
      </c>
      <c r="G19" s="130" t="str">
        <f>Compta!H20</f>
        <v>Oui</v>
      </c>
    </row>
    <row r="20" spans="1:7" ht="15" customHeight="1" x14ac:dyDescent="0.25">
      <c r="A20" s="42">
        <f>Compta!B21</f>
        <v>45544</v>
      </c>
      <c r="B20" s="43">
        <f>Compta!C21</f>
        <v>756800</v>
      </c>
      <c r="C20" s="44" t="str">
        <f>Compta!D21</f>
        <v>Cotisations reçues par CB 24-25</v>
      </c>
      <c r="D20" s="144">
        <f>Compta!E21</f>
        <v>270</v>
      </c>
      <c r="E20" s="144">
        <f>Compta!F21</f>
        <v>0</v>
      </c>
      <c r="F20" s="136">
        <f t="shared" si="0"/>
        <v>6480</v>
      </c>
      <c r="G20" s="130" t="str">
        <f>Compta!H21</f>
        <v>Oui</v>
      </c>
    </row>
    <row r="21" spans="1:7" ht="15" customHeight="1" x14ac:dyDescent="0.25">
      <c r="A21" s="42">
        <f>Compta!B22</f>
        <v>45545</v>
      </c>
      <c r="B21" s="43">
        <f>Compta!C22</f>
        <v>756800</v>
      </c>
      <c r="C21" s="44" t="str">
        <f>Compta!D22</f>
        <v>Cotisations reçues par CB 24-25</v>
      </c>
      <c r="D21" s="144">
        <f>Compta!E22</f>
        <v>135</v>
      </c>
      <c r="E21" s="144">
        <f>Compta!F22</f>
        <v>0</v>
      </c>
      <c r="F21" s="136">
        <f t="shared" si="0"/>
        <v>936.26</v>
      </c>
      <c r="G21" s="130" t="str">
        <f>Compta!H22</f>
        <v>Oui</v>
      </c>
    </row>
    <row r="22" spans="1:7" ht="15" customHeight="1" x14ac:dyDescent="0.25">
      <c r="A22" s="42">
        <f>Compta!B23</f>
        <v>45546</v>
      </c>
      <c r="B22" s="43">
        <f>Compta!C23</f>
        <v>756800</v>
      </c>
      <c r="C22" s="44" t="str">
        <f>Compta!D23</f>
        <v>Cotisations reçues par CB 24-25</v>
      </c>
      <c r="D22" s="144">
        <f>Compta!E23</f>
        <v>405</v>
      </c>
      <c r="E22" s="144">
        <f>Compta!F23</f>
        <v>0</v>
      </c>
      <c r="F22" s="136">
        <f t="shared" si="0"/>
        <v>6885</v>
      </c>
      <c r="G22" s="130" t="str">
        <f>Compta!H23</f>
        <v>Oui</v>
      </c>
    </row>
    <row r="23" spans="1:7" ht="15" customHeight="1" x14ac:dyDescent="0.25">
      <c r="A23" s="42">
        <f>Compta!B24</f>
        <v>45547</v>
      </c>
      <c r="B23" s="43">
        <f>Compta!C24</f>
        <v>756800</v>
      </c>
      <c r="C23" s="44" t="str">
        <f>Compta!D24</f>
        <v>Cotisations reçues par CB 24-25</v>
      </c>
      <c r="D23" s="144">
        <f>Compta!E24</f>
        <v>135</v>
      </c>
      <c r="E23" s="144">
        <f>Compta!F24</f>
        <v>0</v>
      </c>
      <c r="F23" s="136">
        <f t="shared" si="0"/>
        <v>1071.26</v>
      </c>
      <c r="G23" s="130" t="str">
        <f>Compta!H24</f>
        <v>Oui</v>
      </c>
    </row>
    <row r="24" spans="1:7" ht="15" customHeight="1" x14ac:dyDescent="0.25">
      <c r="A24" s="42">
        <f>Compta!B25</f>
        <v>45548</v>
      </c>
      <c r="B24" s="43">
        <f>Compta!C25</f>
        <v>756800</v>
      </c>
      <c r="C24" s="44" t="str">
        <f>Compta!D25</f>
        <v>Cotisations reçues par CB 24-25</v>
      </c>
      <c r="D24" s="144">
        <f>Compta!E25</f>
        <v>135</v>
      </c>
      <c r="E24" s="144">
        <f>Compta!F25</f>
        <v>0</v>
      </c>
      <c r="F24" s="136">
        <f t="shared" si="0"/>
        <v>7020</v>
      </c>
      <c r="G24" s="130" t="str">
        <f>Compta!H25</f>
        <v>Oui</v>
      </c>
    </row>
    <row r="25" spans="1:7" ht="15" customHeight="1" x14ac:dyDescent="0.25">
      <c r="A25" s="42">
        <f>Compta!B26</f>
        <v>45551</v>
      </c>
      <c r="B25" s="43">
        <f>Compta!C26</f>
        <v>756800</v>
      </c>
      <c r="C25" s="44" t="str">
        <f>Compta!D26</f>
        <v>Cotisations reçues par CB 24-25</v>
      </c>
      <c r="D25" s="144">
        <f>Compta!E26</f>
        <v>270</v>
      </c>
      <c r="E25" s="144">
        <f>Compta!F26</f>
        <v>0</v>
      </c>
      <c r="F25" s="136">
        <f t="shared" si="0"/>
        <v>1341.26</v>
      </c>
      <c r="G25" s="130" t="str">
        <f>Compta!H26</f>
        <v>Oui</v>
      </c>
    </row>
    <row r="26" spans="1:7" ht="15" customHeight="1" x14ac:dyDescent="0.25">
      <c r="A26" s="42">
        <f>Compta!B27</f>
        <v>45551</v>
      </c>
      <c r="B26" s="43">
        <f>Compta!C27</f>
        <v>756800</v>
      </c>
      <c r="C26" s="44" t="str">
        <f>Compta!D27</f>
        <v>Cotisations reçues par CB 24-25</v>
      </c>
      <c r="D26" s="144">
        <f>Compta!E27</f>
        <v>337.5</v>
      </c>
      <c r="E26" s="144">
        <f>Compta!F27</f>
        <v>0</v>
      </c>
      <c r="F26" s="136">
        <f t="shared" si="0"/>
        <v>7357.5</v>
      </c>
      <c r="G26" s="130" t="str">
        <f>Compta!H27</f>
        <v>Oui</v>
      </c>
    </row>
    <row r="27" spans="1:7" ht="15" customHeight="1" x14ac:dyDescent="0.25">
      <c r="A27" s="42">
        <f>Compta!B28</f>
        <v>45551</v>
      </c>
      <c r="B27" s="43">
        <f>Compta!C28</f>
        <v>756800</v>
      </c>
      <c r="C27" s="44" t="str">
        <f>Compta!D28</f>
        <v>Cotisations reçues par CB 24-25</v>
      </c>
      <c r="D27" s="144">
        <f>Compta!E28</f>
        <v>337.5</v>
      </c>
      <c r="E27" s="144">
        <f>Compta!F28</f>
        <v>0</v>
      </c>
      <c r="F27" s="136">
        <f t="shared" si="0"/>
        <v>1678.76</v>
      </c>
      <c r="G27" s="130" t="str">
        <f>Compta!H28</f>
        <v>Oui</v>
      </c>
    </row>
    <row r="28" spans="1:7" ht="15" customHeight="1" x14ac:dyDescent="0.25">
      <c r="A28" s="42">
        <f>Compta!B29</f>
        <v>45552</v>
      </c>
      <c r="B28" s="43">
        <f>Compta!C29</f>
        <v>756800</v>
      </c>
      <c r="C28" s="44" t="str">
        <f>Compta!D29</f>
        <v>Cotisations reçues par CB 24-25</v>
      </c>
      <c r="D28" s="144">
        <f>Compta!E29</f>
        <v>472.5</v>
      </c>
      <c r="E28" s="144">
        <f>Compta!F29</f>
        <v>0</v>
      </c>
      <c r="F28" s="136">
        <f t="shared" si="0"/>
        <v>7830</v>
      </c>
      <c r="G28" s="130" t="str">
        <f>Compta!H29</f>
        <v>Oui</v>
      </c>
    </row>
    <row r="29" spans="1:7" ht="15" customHeight="1" x14ac:dyDescent="0.25">
      <c r="A29" s="42">
        <f>Compta!B30</f>
        <v>45552</v>
      </c>
      <c r="B29" s="43" t="str">
        <f>Compta!C30</f>
        <v>-</v>
      </c>
      <c r="C29" s="44" t="str">
        <f>Compta!D30</f>
        <v>Virement banque vers livret (5 400 €)</v>
      </c>
      <c r="D29" s="144">
        <f>Compta!E30</f>
        <v>0</v>
      </c>
      <c r="E29" s="144">
        <f>Compta!F30</f>
        <v>0</v>
      </c>
      <c r="F29" s="136">
        <f t="shared" si="0"/>
        <v>1678.76</v>
      </c>
      <c r="G29" s="130" t="str">
        <f>Compta!H30</f>
        <v>Oui</v>
      </c>
    </row>
    <row r="30" spans="1:7" ht="15" customHeight="1" x14ac:dyDescent="0.25">
      <c r="A30" s="42">
        <f>Compta!B31</f>
        <v>45552</v>
      </c>
      <c r="B30" s="43">
        <f>Compta!C31</f>
        <v>605100</v>
      </c>
      <c r="C30" s="44" t="str">
        <f>Compta!D31</f>
        <v>Virement - Remboursement achat enceinte pour cours du jeudi gymnase Courtand</v>
      </c>
      <c r="D30" s="144">
        <f>Compta!E31</f>
        <v>0</v>
      </c>
      <c r="E30" s="144">
        <f>Compta!F31</f>
        <v>439.99</v>
      </c>
      <c r="F30" s="136">
        <f t="shared" si="0"/>
        <v>7390.01</v>
      </c>
      <c r="G30" s="130" t="str">
        <f>Compta!H31</f>
        <v>Oui</v>
      </c>
    </row>
    <row r="31" spans="1:7" ht="15" customHeight="1" x14ac:dyDescent="0.25">
      <c r="A31" s="42">
        <f>Compta!B32</f>
        <v>45553</v>
      </c>
      <c r="B31" s="43">
        <f>Compta!C32</f>
        <v>756800</v>
      </c>
      <c r="C31" s="44" t="str">
        <f>Compta!D32</f>
        <v>Cotisations reçues par CB 24-25</v>
      </c>
      <c r="D31" s="144">
        <f>Compta!E32</f>
        <v>405</v>
      </c>
      <c r="E31" s="144">
        <f>Compta!F32</f>
        <v>0</v>
      </c>
      <c r="F31" s="136">
        <f t="shared" si="0"/>
        <v>2083.7600000000002</v>
      </c>
      <c r="G31" s="130" t="str">
        <f>Compta!H32</f>
        <v>Oui</v>
      </c>
    </row>
    <row r="32" spans="1:7" ht="15" customHeight="1" x14ac:dyDescent="0.25">
      <c r="A32" s="42">
        <f>Compta!B33</f>
        <v>45553</v>
      </c>
      <c r="B32" s="43">
        <f>Compta!C33</f>
        <v>652100</v>
      </c>
      <c r="C32" s="44" t="str">
        <f>Compta!D33</f>
        <v>Virement - Licences FFEPGV 2024/2025</v>
      </c>
      <c r="D32" s="144">
        <f>Compta!E33</f>
        <v>0</v>
      </c>
      <c r="E32" s="144">
        <f>Compta!F33</f>
        <v>88.5</v>
      </c>
      <c r="F32" s="136">
        <f t="shared" si="0"/>
        <v>7301.51</v>
      </c>
      <c r="G32" s="130" t="str">
        <f>Compta!H33</f>
        <v>Oui</v>
      </c>
    </row>
    <row r="33" spans="1:7" ht="15" customHeight="1" x14ac:dyDescent="0.25">
      <c r="A33" s="42">
        <f>Compta!B34</f>
        <v>45554</v>
      </c>
      <c r="B33" s="43">
        <f>Compta!C34</f>
        <v>756800</v>
      </c>
      <c r="C33" s="44" t="str">
        <f>Compta!D34</f>
        <v>Cotisations reçues par CB 24-25</v>
      </c>
      <c r="D33" s="144">
        <f>Compta!E34</f>
        <v>540</v>
      </c>
      <c r="E33" s="144">
        <f>Compta!F34</f>
        <v>0</v>
      </c>
      <c r="F33" s="136">
        <f t="shared" si="0"/>
        <v>2623.76</v>
      </c>
      <c r="G33" s="130" t="str">
        <f>Compta!H34</f>
        <v>Oui</v>
      </c>
    </row>
    <row r="34" spans="1:7" ht="15" customHeight="1" x14ac:dyDescent="0.25">
      <c r="A34" s="42">
        <f>Compta!B35</f>
        <v>45555</v>
      </c>
      <c r="B34" s="43">
        <f>Compta!C35</f>
        <v>756800</v>
      </c>
      <c r="C34" s="44" t="str">
        <f>Compta!D35</f>
        <v>Cotisations reçues par CB 24-25</v>
      </c>
      <c r="D34" s="144">
        <f>Compta!E35</f>
        <v>202.5</v>
      </c>
      <c r="E34" s="144">
        <f>Compta!F35</f>
        <v>0</v>
      </c>
      <c r="F34" s="136">
        <f t="shared" si="0"/>
        <v>7504.01</v>
      </c>
      <c r="G34" s="130" t="str">
        <f>Compta!H35</f>
        <v>Oui</v>
      </c>
    </row>
    <row r="35" spans="1:7" ht="15" customHeight="1" x14ac:dyDescent="0.25">
      <c r="A35" s="42">
        <f>Compta!B36</f>
        <v>45556</v>
      </c>
      <c r="B35" s="43">
        <f>Compta!C36</f>
        <v>606800</v>
      </c>
      <c r="C35" s="44" t="str">
        <f>Compta!D36</f>
        <v>Virement - Remboursement reproduction clés pour placard gymnase Courtand Balizy</v>
      </c>
      <c r="D35" s="144">
        <f>Compta!E36</f>
        <v>0</v>
      </c>
      <c r="E35" s="144">
        <f>Compta!F36</f>
        <v>12</v>
      </c>
      <c r="F35" s="136">
        <f t="shared" si="0"/>
        <v>2611.7600000000002</v>
      </c>
      <c r="G35" s="130" t="str">
        <f>Compta!H36</f>
        <v>Oui</v>
      </c>
    </row>
    <row r="36" spans="1:7" ht="15" customHeight="1" x14ac:dyDescent="0.25">
      <c r="A36" s="42">
        <f>Compta!B37</f>
        <v>45558</v>
      </c>
      <c r="B36" s="43">
        <f>Compta!C37</f>
        <v>756800</v>
      </c>
      <c r="C36" s="44" t="str">
        <f>Compta!D37</f>
        <v>Cotisations reçues par CB 24-25</v>
      </c>
      <c r="D36" s="144">
        <f>Compta!E37</f>
        <v>202.5</v>
      </c>
      <c r="E36" s="144">
        <f>Compta!F37</f>
        <v>0</v>
      </c>
      <c r="F36" s="136">
        <f t="shared" si="0"/>
        <v>7706.51</v>
      </c>
      <c r="G36" s="130" t="str">
        <f>Compta!H37</f>
        <v>Oui</v>
      </c>
    </row>
    <row r="37" spans="1:7" ht="15" customHeight="1" x14ac:dyDescent="0.25">
      <c r="A37" s="42">
        <f>Compta!B38</f>
        <v>45558</v>
      </c>
      <c r="B37" s="43">
        <f>Compta!C38</f>
        <v>756800</v>
      </c>
      <c r="C37" s="44" t="str">
        <f>Compta!D38</f>
        <v>Cotisations reçues par CB 24-25</v>
      </c>
      <c r="D37" s="144">
        <f>Compta!E38</f>
        <v>67.5</v>
      </c>
      <c r="E37" s="144">
        <f>Compta!F38</f>
        <v>0</v>
      </c>
      <c r="F37" s="136">
        <f t="shared" si="0"/>
        <v>2679.26</v>
      </c>
      <c r="G37" s="130" t="str">
        <f>Compta!H38</f>
        <v>Oui</v>
      </c>
    </row>
    <row r="38" spans="1:7" ht="15" customHeight="1" x14ac:dyDescent="0.25">
      <c r="A38" s="42">
        <f>Compta!B39</f>
        <v>45558</v>
      </c>
      <c r="B38" s="43">
        <f>Compta!C39</f>
        <v>756800</v>
      </c>
      <c r="C38" s="44" t="str">
        <f>Compta!D39</f>
        <v>Cotisations reçues par CB 24-25</v>
      </c>
      <c r="D38" s="144">
        <f>Compta!E39</f>
        <v>135</v>
      </c>
      <c r="E38" s="144">
        <f>Compta!F39</f>
        <v>0</v>
      </c>
      <c r="F38" s="136">
        <f t="shared" si="0"/>
        <v>7841.51</v>
      </c>
      <c r="G38" s="130" t="str">
        <f>Compta!H39</f>
        <v>Oui</v>
      </c>
    </row>
    <row r="39" spans="1:7" ht="15" customHeight="1" x14ac:dyDescent="0.25">
      <c r="A39" s="42">
        <f>Compta!B40</f>
        <v>45559</v>
      </c>
      <c r="B39" s="43">
        <f>Compta!C40</f>
        <v>756800</v>
      </c>
      <c r="C39" s="44" t="str">
        <f>Compta!D40</f>
        <v>Cotisations reçues par CB 24-25</v>
      </c>
      <c r="D39" s="144">
        <f>Compta!E40</f>
        <v>270</v>
      </c>
      <c r="E39" s="144">
        <f>Compta!F40</f>
        <v>0</v>
      </c>
      <c r="F39" s="136">
        <f t="shared" si="0"/>
        <v>2949.26</v>
      </c>
      <c r="G39" s="130" t="str">
        <f>Compta!H40</f>
        <v>Oui</v>
      </c>
    </row>
    <row r="40" spans="1:7" ht="15" customHeight="1" x14ac:dyDescent="0.25">
      <c r="A40" s="42">
        <f>Compta!B41</f>
        <v>45559</v>
      </c>
      <c r="B40" s="43">
        <f>Compta!C41</f>
        <v>756800</v>
      </c>
      <c r="C40" s="44" t="str">
        <f>Compta!D41</f>
        <v>Cotisations 24-25 payées en espèces déposées en banque</v>
      </c>
      <c r="D40" s="144">
        <f>Compta!E41</f>
        <v>1235</v>
      </c>
      <c r="E40" s="144">
        <f>Compta!F41</f>
        <v>0</v>
      </c>
      <c r="F40" s="136">
        <f t="shared" si="0"/>
        <v>9076.51</v>
      </c>
      <c r="G40" s="130" t="str">
        <f>Compta!H41</f>
        <v>Oui</v>
      </c>
    </row>
    <row r="41" spans="1:7" ht="15" customHeight="1" x14ac:dyDescent="0.25">
      <c r="A41" s="42">
        <f>Compta!B42</f>
        <v>45559</v>
      </c>
      <c r="B41" s="43" t="str">
        <f>Compta!C42</f>
        <v>-</v>
      </c>
      <c r="C41" s="44" t="str">
        <f>Compta!D42</f>
        <v>Dépôt espèces caisse en banque (5 €)</v>
      </c>
      <c r="D41" s="144">
        <f>Compta!E42</f>
        <v>0</v>
      </c>
      <c r="E41" s="144">
        <f>Compta!F42</f>
        <v>0</v>
      </c>
      <c r="F41" s="136">
        <f t="shared" si="0"/>
        <v>2949.26</v>
      </c>
      <c r="G41" s="130" t="str">
        <f>Compta!H42</f>
        <v>Oui</v>
      </c>
    </row>
    <row r="42" spans="1:7" ht="15" customHeight="1" x14ac:dyDescent="0.25">
      <c r="A42" s="42">
        <f>Compta!B43</f>
        <v>45560</v>
      </c>
      <c r="B42" s="43">
        <f>Compta!C43</f>
        <v>756800</v>
      </c>
      <c r="C42" s="44" t="str">
        <f>Compta!D43</f>
        <v>Cotisations reçues par CB 24-25</v>
      </c>
      <c r="D42" s="144">
        <f>Compta!E43</f>
        <v>67.5</v>
      </c>
      <c r="E42" s="144">
        <f>Compta!F43</f>
        <v>0</v>
      </c>
      <c r="F42" s="136">
        <f t="shared" si="0"/>
        <v>9144.01</v>
      </c>
      <c r="G42" s="130" t="str">
        <f>Compta!H43</f>
        <v>Oui</v>
      </c>
    </row>
    <row r="43" spans="1:7" ht="15" customHeight="1" x14ac:dyDescent="0.25">
      <c r="A43" s="42">
        <f>Compta!B44</f>
        <v>45561</v>
      </c>
      <c r="B43" s="43">
        <f>Compta!C44</f>
        <v>756800</v>
      </c>
      <c r="C43" s="44" t="str">
        <f>Compta!D44</f>
        <v>Cotisations reçues par CB 24-25</v>
      </c>
      <c r="D43" s="144">
        <f>Compta!E44</f>
        <v>270</v>
      </c>
      <c r="E43" s="144">
        <f>Compta!F44</f>
        <v>0</v>
      </c>
      <c r="F43" s="136">
        <f t="shared" si="0"/>
        <v>3219.26</v>
      </c>
      <c r="G43" s="130" t="str">
        <f>Compta!H44</f>
        <v>Oui</v>
      </c>
    </row>
    <row r="44" spans="1:7" ht="15" customHeight="1" x14ac:dyDescent="0.25">
      <c r="A44" s="42">
        <f>Compta!B45</f>
        <v>45562</v>
      </c>
      <c r="B44" s="43">
        <f>Compta!C45</f>
        <v>756800</v>
      </c>
      <c r="C44" s="44" t="str">
        <f>Compta!D45</f>
        <v>Cotisations reçues par CB 24-25</v>
      </c>
      <c r="D44" s="144">
        <f>Compta!E45</f>
        <v>337.5</v>
      </c>
      <c r="E44" s="144">
        <f>Compta!F45</f>
        <v>0</v>
      </c>
      <c r="F44" s="136">
        <f t="shared" si="0"/>
        <v>9481.51</v>
      </c>
      <c r="G44" s="130" t="str">
        <f>Compta!H45</f>
        <v>Oui</v>
      </c>
    </row>
    <row r="45" spans="1:7" ht="15" customHeight="1" x14ac:dyDescent="0.25">
      <c r="A45" s="42">
        <f>Compta!B46</f>
        <v>45565</v>
      </c>
      <c r="B45" s="43">
        <f>Compta!C46</f>
        <v>756800</v>
      </c>
      <c r="C45" s="44" t="str">
        <f>Compta!D46</f>
        <v>Cotisations reçues par CB 24-25</v>
      </c>
      <c r="D45" s="144">
        <f>Compta!E46</f>
        <v>67.5</v>
      </c>
      <c r="E45" s="144">
        <f>Compta!F46</f>
        <v>0</v>
      </c>
      <c r="F45" s="136">
        <f t="shared" si="0"/>
        <v>3286.76</v>
      </c>
      <c r="G45" s="130" t="str">
        <f>Compta!H46</f>
        <v>Oui</v>
      </c>
    </row>
    <row r="46" spans="1:7" ht="15" customHeight="1" x14ac:dyDescent="0.25">
      <c r="A46" s="42">
        <f>Compta!B47</f>
        <v>45565</v>
      </c>
      <c r="B46" s="43">
        <f>Compta!C47</f>
        <v>756800</v>
      </c>
      <c r="C46" s="44" t="str">
        <f>Compta!D47</f>
        <v>Cotisations reçues par CB 24-25</v>
      </c>
      <c r="D46" s="144">
        <f>Compta!E47</f>
        <v>202.5</v>
      </c>
      <c r="E46" s="144">
        <f>Compta!F47</f>
        <v>0</v>
      </c>
      <c r="F46" s="136">
        <f t="shared" si="0"/>
        <v>9684.01</v>
      </c>
      <c r="G46" s="130" t="str">
        <f>Compta!H47</f>
        <v>Oui</v>
      </c>
    </row>
    <row r="47" spans="1:7" ht="15" customHeight="1" x14ac:dyDescent="0.25">
      <c r="A47" s="42">
        <f>Compta!B48</f>
        <v>45565</v>
      </c>
      <c r="B47" s="43">
        <f>Compta!C48</f>
        <v>756800</v>
      </c>
      <c r="C47" s="44" t="str">
        <f>Compta!D48</f>
        <v>Cotisations reçues par CB 24-25</v>
      </c>
      <c r="D47" s="144">
        <f>Compta!E48</f>
        <v>405</v>
      </c>
      <c r="E47" s="144">
        <f>Compta!F48</f>
        <v>0</v>
      </c>
      <c r="F47" s="136">
        <f t="shared" si="0"/>
        <v>3691.76</v>
      </c>
      <c r="G47" s="130" t="str">
        <f>Compta!H48</f>
        <v>Oui</v>
      </c>
    </row>
    <row r="48" spans="1:7" ht="15" customHeight="1" x14ac:dyDescent="0.25">
      <c r="A48" s="42">
        <f>Compta!B49</f>
        <v>45565</v>
      </c>
      <c r="B48" s="43">
        <f>Compta!C49</f>
        <v>626200</v>
      </c>
      <c r="C48" s="44" t="str">
        <f>Compta!D49</f>
        <v>Frais Téléphone Sosh</v>
      </c>
      <c r="D48" s="144">
        <f>Compta!E49</f>
        <v>0</v>
      </c>
      <c r="E48" s="144">
        <f>Compta!F49</f>
        <v>5.99</v>
      </c>
      <c r="F48" s="136">
        <f t="shared" si="0"/>
        <v>9678.02</v>
      </c>
      <c r="G48" s="130" t="str">
        <f>Compta!H49</f>
        <v>Oui</v>
      </c>
    </row>
    <row r="49" spans="1:7" ht="15" customHeight="1" x14ac:dyDescent="0.25">
      <c r="A49" s="42">
        <f>Compta!B50</f>
        <v>45565</v>
      </c>
      <c r="B49" s="43">
        <f>Compta!C50</f>
        <v>641200</v>
      </c>
      <c r="C49" s="44" t="str">
        <f>Compta!D50</f>
        <v>Virement salaires Septembre 2024 KOBLAN-HUBERSON</v>
      </c>
      <c r="D49" s="144">
        <f>Compta!E50</f>
        <v>0</v>
      </c>
      <c r="E49" s="144">
        <f>Compta!F50</f>
        <v>426.42</v>
      </c>
      <c r="F49" s="136">
        <f t="shared" si="0"/>
        <v>3265.34</v>
      </c>
      <c r="G49" s="130" t="str">
        <f>Compta!H50</f>
        <v>Oui</v>
      </c>
    </row>
    <row r="50" spans="1:7" ht="15" customHeight="1" x14ac:dyDescent="0.25">
      <c r="A50" s="42">
        <f>Compta!B51</f>
        <v>45565</v>
      </c>
      <c r="B50" s="43">
        <f>Compta!C51</f>
        <v>641200</v>
      </c>
      <c r="C50" s="44" t="str">
        <f>Compta!D51</f>
        <v>Virement salaires Septembre 2024 LE DUC</v>
      </c>
      <c r="D50" s="144">
        <f>Compta!E51</f>
        <v>0</v>
      </c>
      <c r="E50" s="144">
        <f>Compta!F51</f>
        <v>399.32</v>
      </c>
      <c r="F50" s="136">
        <f t="shared" si="0"/>
        <v>9278.7000000000007</v>
      </c>
      <c r="G50" s="130" t="str">
        <f>Compta!H51</f>
        <v>Oui</v>
      </c>
    </row>
    <row r="51" spans="1:7" ht="15" customHeight="1" x14ac:dyDescent="0.25">
      <c r="A51" s="42">
        <f>Compta!B52</f>
        <v>45565</v>
      </c>
      <c r="B51" s="43">
        <f>Compta!C52</f>
        <v>641200</v>
      </c>
      <c r="C51" s="44" t="str">
        <f>Compta!D52</f>
        <v>Virement salaires Septembre 2024 MANSBENDEL</v>
      </c>
      <c r="D51" s="144">
        <f>Compta!E52</f>
        <v>0</v>
      </c>
      <c r="E51" s="144">
        <f>Compta!F52</f>
        <v>174.19</v>
      </c>
      <c r="F51" s="136">
        <f t="shared" si="0"/>
        <v>3091.15</v>
      </c>
      <c r="G51" s="130" t="str">
        <f>Compta!H52</f>
        <v>Oui</v>
      </c>
    </row>
    <row r="52" spans="1:7" ht="15" customHeight="1" x14ac:dyDescent="0.25">
      <c r="A52" s="42">
        <f>Compta!B53</f>
        <v>45565</v>
      </c>
      <c r="B52" s="43">
        <f>Compta!C53</f>
        <v>641200</v>
      </c>
      <c r="C52" s="44" t="str">
        <f>Compta!D53</f>
        <v>Virement salaires Septembre 2024 NGUYEN TUONG</v>
      </c>
      <c r="D52" s="144">
        <f>Compta!E53</f>
        <v>0</v>
      </c>
      <c r="E52" s="144">
        <f>Compta!F53</f>
        <v>504.06</v>
      </c>
      <c r="F52" s="136">
        <f t="shared" si="0"/>
        <v>8774.6400000000012</v>
      </c>
      <c r="G52" s="130" t="str">
        <f>Compta!H53</f>
        <v>Oui</v>
      </c>
    </row>
    <row r="53" spans="1:7" ht="15" customHeight="1" x14ac:dyDescent="0.25">
      <c r="A53" s="42">
        <f>Compta!B54</f>
        <v>45565</v>
      </c>
      <c r="B53" s="43">
        <f>Compta!C54</f>
        <v>641200</v>
      </c>
      <c r="C53" s="44" t="str">
        <f>Compta!D54</f>
        <v>Virement salaires Septembre 2024 PIQUET</v>
      </c>
      <c r="D53" s="144">
        <f>Compta!E54</f>
        <v>0</v>
      </c>
      <c r="E53" s="144">
        <f>Compta!F54</f>
        <v>272.67</v>
      </c>
      <c r="F53" s="136">
        <f t="shared" si="0"/>
        <v>2818.48</v>
      </c>
      <c r="G53" s="130" t="str">
        <f>Compta!H54</f>
        <v>Oui</v>
      </c>
    </row>
    <row r="54" spans="1:7" ht="15" customHeight="1" x14ac:dyDescent="0.25">
      <c r="A54" s="42">
        <f>Compta!B55</f>
        <v>45565</v>
      </c>
      <c r="B54" s="43">
        <f>Compta!C55</f>
        <v>645800</v>
      </c>
      <c r="C54" s="44" t="str">
        <f>Compta!D55</f>
        <v>Charges sociales Septembre 2024</v>
      </c>
      <c r="D54" s="144">
        <f>Compta!E55</f>
        <v>0</v>
      </c>
      <c r="E54" s="144">
        <f>Compta!F55</f>
        <v>661.03</v>
      </c>
      <c r="F54" s="136">
        <f t="shared" si="0"/>
        <v>8113.6100000000015</v>
      </c>
      <c r="G54" s="130" t="str">
        <f>Compta!H55</f>
        <v>Oui</v>
      </c>
    </row>
    <row r="55" spans="1:7" ht="15" customHeight="1" x14ac:dyDescent="0.25">
      <c r="A55" s="42">
        <f>Compta!B56</f>
        <v>45565</v>
      </c>
      <c r="B55" s="43">
        <f>Compta!C56</f>
        <v>645700</v>
      </c>
      <c r="C55" s="44" t="str">
        <f>Compta!D56</f>
        <v>Prélèvement à la source Septembre 2024</v>
      </c>
      <c r="D55" s="144">
        <f>Compta!E56</f>
        <v>0</v>
      </c>
      <c r="E55" s="144">
        <f>Compta!F56</f>
        <v>67.599999999999994</v>
      </c>
      <c r="F55" s="136">
        <f t="shared" si="0"/>
        <v>2750.88</v>
      </c>
      <c r="G55" s="130" t="str">
        <f>Compta!H56</f>
        <v>Oui</v>
      </c>
    </row>
    <row r="56" spans="1:7" ht="15" customHeight="1" x14ac:dyDescent="0.25">
      <c r="A56" s="42">
        <f>Compta!B57</f>
        <v>45565</v>
      </c>
      <c r="B56" s="43">
        <f>Compta!C57</f>
        <v>622610</v>
      </c>
      <c r="C56" s="44" t="str">
        <f>Compta!D57</f>
        <v>Frais du cabinet comptable par salarié Septembre 2024</v>
      </c>
      <c r="D56" s="144">
        <f>Compta!E57</f>
        <v>0</v>
      </c>
      <c r="E56" s="144">
        <f>Compta!F57</f>
        <v>105</v>
      </c>
      <c r="F56" s="136">
        <f t="shared" si="0"/>
        <v>8008.6100000000015</v>
      </c>
      <c r="G56" s="130" t="str">
        <f>Compta!H57</f>
        <v>Oui</v>
      </c>
    </row>
    <row r="57" spans="1:7" ht="15" customHeight="1" x14ac:dyDescent="0.25">
      <c r="A57" s="42">
        <f>Compta!B58</f>
        <v>45566</v>
      </c>
      <c r="B57" s="43">
        <f>Compta!C58</f>
        <v>756800</v>
      </c>
      <c r="C57" s="44" t="str">
        <f>Compta!D58</f>
        <v>Cotisations reçues par CB 24-25</v>
      </c>
      <c r="D57" s="144">
        <f>Compta!E58</f>
        <v>270</v>
      </c>
      <c r="E57" s="144">
        <f>Compta!F58</f>
        <v>0</v>
      </c>
      <c r="F57" s="136">
        <f t="shared" si="0"/>
        <v>3020.88</v>
      </c>
      <c r="G57" s="130" t="str">
        <f>Compta!H58</f>
        <v>Oui</v>
      </c>
    </row>
    <row r="58" spans="1:7" ht="15" customHeight="1" x14ac:dyDescent="0.25">
      <c r="A58" s="42">
        <f>Compta!B59</f>
        <v>45566</v>
      </c>
      <c r="B58" s="43">
        <f>Compta!C59</f>
        <v>756800</v>
      </c>
      <c r="C58" s="44" t="str">
        <f>Compta!D59</f>
        <v>Cotisations 24-25 payées par chèques</v>
      </c>
      <c r="D58" s="144">
        <f>Compta!E59</f>
        <v>3671</v>
      </c>
      <c r="E58" s="144">
        <f>Compta!F59</f>
        <v>0</v>
      </c>
      <c r="F58" s="136">
        <f t="shared" si="0"/>
        <v>11679.61</v>
      </c>
      <c r="G58" s="130" t="str">
        <f>Compta!H59</f>
        <v>Oui</v>
      </c>
    </row>
    <row r="59" spans="1:7" ht="15" customHeight="1" x14ac:dyDescent="0.25">
      <c r="A59" s="42">
        <f>Compta!B60</f>
        <v>45566</v>
      </c>
      <c r="B59" s="43">
        <f>Compta!C60</f>
        <v>756800</v>
      </c>
      <c r="C59" s="44" t="str">
        <f>Compta!D60</f>
        <v>Cotisations 24-25 payées par chèques</v>
      </c>
      <c r="D59" s="144">
        <f>Compta!E60</f>
        <v>1957.5</v>
      </c>
      <c r="E59" s="144">
        <f>Compta!F60</f>
        <v>0</v>
      </c>
      <c r="F59" s="136">
        <f t="shared" si="0"/>
        <v>4978.38</v>
      </c>
      <c r="G59" s="130" t="str">
        <f>Compta!H60</f>
        <v>Oui</v>
      </c>
    </row>
    <row r="60" spans="1:7" ht="15" customHeight="1" x14ac:dyDescent="0.25">
      <c r="A60" s="42">
        <f>Compta!B61</f>
        <v>45566</v>
      </c>
      <c r="B60" s="43">
        <f>Compta!C61</f>
        <v>756800</v>
      </c>
      <c r="C60" s="44" t="str">
        <f>Compta!D61</f>
        <v>Cotisations 24-25 payées par chèques</v>
      </c>
      <c r="D60" s="144">
        <f>Compta!E61</f>
        <v>3944.5</v>
      </c>
      <c r="E60" s="144">
        <f>Compta!F61</f>
        <v>0</v>
      </c>
      <c r="F60" s="136">
        <f t="shared" si="0"/>
        <v>15624.11</v>
      </c>
      <c r="G60" s="130" t="str">
        <f>Compta!H61</f>
        <v>Oui</v>
      </c>
    </row>
    <row r="61" spans="1:7" ht="15" customHeight="1" x14ac:dyDescent="0.25">
      <c r="A61" s="42">
        <f>Compta!B62</f>
        <v>45566</v>
      </c>
      <c r="B61" s="43">
        <f>Compta!C62</f>
        <v>756800</v>
      </c>
      <c r="C61" s="44" t="str">
        <f>Compta!D62</f>
        <v>Cotisations 24-25 payées par chèques</v>
      </c>
      <c r="D61" s="144">
        <f>Compta!E62</f>
        <v>3714.5</v>
      </c>
      <c r="E61" s="144">
        <f>Compta!F62</f>
        <v>0</v>
      </c>
      <c r="F61" s="136">
        <f t="shared" si="0"/>
        <v>8692.880000000001</v>
      </c>
      <c r="G61" s="130" t="str">
        <f>Compta!H62</f>
        <v>Oui</v>
      </c>
    </row>
    <row r="62" spans="1:7" ht="15" customHeight="1" x14ac:dyDescent="0.25">
      <c r="A62" s="42">
        <f>Compta!B63</f>
        <v>45566</v>
      </c>
      <c r="B62" s="43">
        <f>Compta!C63</f>
        <v>756800</v>
      </c>
      <c r="C62" s="44" t="str">
        <f>Compta!D63</f>
        <v>Cotisations 24-25 payées en espèces (complément chèques ANCV)</v>
      </c>
      <c r="D62" s="144">
        <f>Compta!E63</f>
        <v>18</v>
      </c>
      <c r="E62" s="144">
        <f>Compta!F63</f>
        <v>0</v>
      </c>
      <c r="F62" s="136">
        <f t="shared" si="0"/>
        <v>15642.11</v>
      </c>
      <c r="G62" s="130">
        <f>Compta!H63</f>
        <v>0</v>
      </c>
    </row>
    <row r="63" spans="1:7" ht="15" customHeight="1" x14ac:dyDescent="0.25">
      <c r="A63" s="42">
        <f>Compta!B64</f>
        <v>45567</v>
      </c>
      <c r="B63" s="43">
        <f>Compta!C64</f>
        <v>756800</v>
      </c>
      <c r="C63" s="44" t="str">
        <f>Compta!D64</f>
        <v>Cotisations reçues par CB 24-25</v>
      </c>
      <c r="D63" s="144">
        <f>Compta!E64</f>
        <v>135</v>
      </c>
      <c r="E63" s="144">
        <f>Compta!F64</f>
        <v>0</v>
      </c>
      <c r="F63" s="136">
        <f t="shared" si="0"/>
        <v>8827.880000000001</v>
      </c>
      <c r="G63" s="130" t="str">
        <f>Compta!H64</f>
        <v>Oui</v>
      </c>
    </row>
    <row r="64" spans="1:7" ht="15" customHeight="1" x14ac:dyDescent="0.25">
      <c r="A64" s="42">
        <f>Compta!B65</f>
        <v>45568</v>
      </c>
      <c r="B64" s="43">
        <f>Compta!C65</f>
        <v>756800</v>
      </c>
      <c r="C64" s="44" t="str">
        <f>Compta!D65</f>
        <v>Cotisations reçues par CB 24-25</v>
      </c>
      <c r="D64" s="144">
        <f>Compta!E65</f>
        <v>607.5</v>
      </c>
      <c r="E64" s="144">
        <f>Compta!F65</f>
        <v>0</v>
      </c>
      <c r="F64" s="136">
        <f t="shared" si="0"/>
        <v>16249.61</v>
      </c>
      <c r="G64" s="130" t="str">
        <f>Compta!H65</f>
        <v>Oui</v>
      </c>
    </row>
    <row r="65" spans="1:7" ht="15" customHeight="1" x14ac:dyDescent="0.25">
      <c r="A65" s="42">
        <f>Compta!B66</f>
        <v>45568</v>
      </c>
      <c r="B65" s="43">
        <f>Compta!C66</f>
        <v>622640</v>
      </c>
      <c r="C65" s="44" t="str">
        <f>Compta!D66</f>
        <v>Virement - Remplacement HIIT 11/18/25 sept 24 (3h) + Cours Pilates 11/18/25 sept 24 (3h)</v>
      </c>
      <c r="D65" s="144">
        <f>Compta!E66</f>
        <v>0</v>
      </c>
      <c r="E65" s="144">
        <f>Compta!F66</f>
        <v>240</v>
      </c>
      <c r="F65" s="136">
        <f t="shared" si="0"/>
        <v>8587.880000000001</v>
      </c>
      <c r="G65" s="130" t="str">
        <f>Compta!H66</f>
        <v>Oui</v>
      </c>
    </row>
    <row r="66" spans="1:7" ht="15" customHeight="1" x14ac:dyDescent="0.25">
      <c r="A66" s="42">
        <f>Compta!B67</f>
        <v>45569</v>
      </c>
      <c r="B66" s="43">
        <f>Compta!C67</f>
        <v>756800</v>
      </c>
      <c r="C66" s="44" t="str">
        <f>Compta!D67</f>
        <v>Cotisations reçues par CB 24-25</v>
      </c>
      <c r="D66" s="144">
        <f>Compta!E67</f>
        <v>135</v>
      </c>
      <c r="E66" s="144">
        <f>Compta!F67</f>
        <v>0</v>
      </c>
      <c r="F66" s="136">
        <f t="shared" si="0"/>
        <v>16384.61</v>
      </c>
      <c r="G66" s="130" t="str">
        <f>Compta!H67</f>
        <v>Oui</v>
      </c>
    </row>
    <row r="67" spans="1:7" ht="15" customHeight="1" x14ac:dyDescent="0.25">
      <c r="A67" s="42">
        <f>Compta!B68</f>
        <v>45569</v>
      </c>
      <c r="B67" s="43">
        <f>Compta!C68</f>
        <v>622640</v>
      </c>
      <c r="C67" s="44" t="str">
        <f>Compta!D68</f>
        <v>Virement - Remplacement cours samedi 28/09/2024 (1h30)</v>
      </c>
      <c r="D67" s="144">
        <f>Compta!E68</f>
        <v>0</v>
      </c>
      <c r="E67" s="144">
        <f>Compta!F68</f>
        <v>52.5</v>
      </c>
      <c r="F67" s="136">
        <f t="shared" si="0"/>
        <v>8535.380000000001</v>
      </c>
      <c r="G67" s="130" t="str">
        <f>Compta!H68</f>
        <v>Oui</v>
      </c>
    </row>
    <row r="68" spans="1:7" ht="15" customHeight="1" x14ac:dyDescent="0.25">
      <c r="A68" s="42">
        <f>Compta!B69</f>
        <v>45570</v>
      </c>
      <c r="B68" s="43">
        <f>Compta!C69</f>
        <v>652100</v>
      </c>
      <c r="C68" s="44" t="str">
        <f>Compta!D69</f>
        <v>Virement - Licences FFEPGV 2024/2025</v>
      </c>
      <c r="D68" s="144">
        <f>Compta!E69</f>
        <v>0</v>
      </c>
      <c r="E68" s="144">
        <f>Compta!F69</f>
        <v>8561</v>
      </c>
      <c r="F68" s="136">
        <f t="shared" si="0"/>
        <v>7823.6100000000006</v>
      </c>
      <c r="G68" s="130" t="str">
        <f>Compta!H69</f>
        <v>Oui</v>
      </c>
    </row>
    <row r="69" spans="1:7" ht="15" customHeight="1" x14ac:dyDescent="0.25">
      <c r="A69" s="42">
        <f>Compta!B70</f>
        <v>45570</v>
      </c>
      <c r="B69" s="43" t="str">
        <f>Compta!C70</f>
        <v>-</v>
      </c>
      <c r="C69" s="44" t="str">
        <f>Compta!D70</f>
        <v>Virement banque vers livret (6 000 €)</v>
      </c>
      <c r="D69" s="144">
        <f>Compta!E70</f>
        <v>0</v>
      </c>
      <c r="E69" s="144">
        <f>Compta!F70</f>
        <v>0</v>
      </c>
      <c r="F69" s="136">
        <f t="shared" si="0"/>
        <v>8535.380000000001</v>
      </c>
      <c r="G69" s="130" t="str">
        <f>Compta!H70</f>
        <v>Oui</v>
      </c>
    </row>
    <row r="70" spans="1:7" ht="15" customHeight="1" x14ac:dyDescent="0.25">
      <c r="A70" s="42">
        <f>Compta!B71</f>
        <v>45572</v>
      </c>
      <c r="B70" s="43">
        <f>Compta!C71</f>
        <v>756800</v>
      </c>
      <c r="C70" s="44" t="str">
        <f>Compta!D71</f>
        <v>Cotisations reçues par CB 24-25</v>
      </c>
      <c r="D70" s="144">
        <f>Compta!E71</f>
        <v>675</v>
      </c>
      <c r="E70" s="144">
        <f>Compta!F71</f>
        <v>0</v>
      </c>
      <c r="F70" s="136">
        <f t="shared" si="0"/>
        <v>8498.61</v>
      </c>
      <c r="G70" s="130" t="str">
        <f>Compta!H71</f>
        <v>Oui</v>
      </c>
    </row>
    <row r="71" spans="1:7" ht="15" customHeight="1" x14ac:dyDescent="0.25">
      <c r="A71" s="42">
        <f>Compta!B72</f>
        <v>45572</v>
      </c>
      <c r="B71" s="43">
        <f>Compta!C72</f>
        <v>756800</v>
      </c>
      <c r="C71" s="44" t="str">
        <f>Compta!D72</f>
        <v>Cotisations reçues par CB 24-25</v>
      </c>
      <c r="D71" s="144">
        <f>Compta!E72</f>
        <v>202.5</v>
      </c>
      <c r="E71" s="144">
        <f>Compta!F72</f>
        <v>0</v>
      </c>
      <c r="F71" s="136">
        <f t="shared" si="0"/>
        <v>8737.880000000001</v>
      </c>
      <c r="G71" s="130" t="str">
        <f>Compta!H72</f>
        <v>Oui</v>
      </c>
    </row>
    <row r="72" spans="1:7" ht="15" customHeight="1" x14ac:dyDescent="0.25">
      <c r="A72" s="42">
        <f>Compta!B73</f>
        <v>45572</v>
      </c>
      <c r="B72" s="43">
        <f>Compta!C73</f>
        <v>756800</v>
      </c>
      <c r="C72" s="44" t="str">
        <f>Compta!D73</f>
        <v>Cotisations reçues par CB 24-25</v>
      </c>
      <c r="D72" s="144">
        <f>Compta!E73</f>
        <v>202.5</v>
      </c>
      <c r="E72" s="144">
        <f>Compta!F73</f>
        <v>0</v>
      </c>
      <c r="F72" s="136">
        <f t="shared" ref="F72:F135" si="1">+F70+D72-E72</f>
        <v>8701.11</v>
      </c>
      <c r="G72" s="130" t="str">
        <f>Compta!H73</f>
        <v>Oui</v>
      </c>
    </row>
    <row r="73" spans="1:7" ht="15" customHeight="1" x14ac:dyDescent="0.25">
      <c r="A73" s="42">
        <f>Compta!B74</f>
        <v>45573</v>
      </c>
      <c r="B73" s="43">
        <f>Compta!C74</f>
        <v>756800</v>
      </c>
      <c r="C73" s="44" t="str">
        <f>Compta!D74</f>
        <v>Cotisations reçues par CB 24-25</v>
      </c>
      <c r="D73" s="144">
        <f>Compta!E74</f>
        <v>607.5</v>
      </c>
      <c r="E73" s="144">
        <f>Compta!F74</f>
        <v>0</v>
      </c>
      <c r="F73" s="136">
        <f t="shared" si="1"/>
        <v>9345.380000000001</v>
      </c>
      <c r="G73" s="130" t="str">
        <f>Compta!H74</f>
        <v>Oui</v>
      </c>
    </row>
    <row r="74" spans="1:7" ht="15" customHeight="1" x14ac:dyDescent="0.25">
      <c r="A74" s="42">
        <f>Compta!B75</f>
        <v>45574</v>
      </c>
      <c r="B74" s="43">
        <f>Compta!C75</f>
        <v>756800</v>
      </c>
      <c r="C74" s="44" t="str">
        <f>Compta!D75</f>
        <v>Cotisations reçues par CB 24-25</v>
      </c>
      <c r="D74" s="144">
        <f>Compta!E75</f>
        <v>405</v>
      </c>
      <c r="E74" s="144">
        <f>Compta!F75</f>
        <v>0</v>
      </c>
      <c r="F74" s="136">
        <f t="shared" si="1"/>
        <v>9106.11</v>
      </c>
      <c r="G74" s="130" t="str">
        <f>Compta!H75</f>
        <v>Oui</v>
      </c>
    </row>
    <row r="75" spans="1:7" ht="15" customHeight="1" x14ac:dyDescent="0.25">
      <c r="A75" s="42">
        <f>Compta!B76</f>
        <v>45575</v>
      </c>
      <c r="B75" s="43">
        <f>Compta!C76</f>
        <v>756800</v>
      </c>
      <c r="C75" s="44" t="str">
        <f>Compta!D76</f>
        <v>Cotisations reçues par CB 24-25</v>
      </c>
      <c r="D75" s="144">
        <f>Compta!E76</f>
        <v>135</v>
      </c>
      <c r="E75" s="144">
        <f>Compta!F76</f>
        <v>0</v>
      </c>
      <c r="F75" s="136">
        <f t="shared" si="1"/>
        <v>9480.380000000001</v>
      </c>
      <c r="G75" s="130" t="str">
        <f>Compta!H76</f>
        <v>Oui</v>
      </c>
    </row>
    <row r="76" spans="1:7" ht="15" customHeight="1" x14ac:dyDescent="0.25">
      <c r="A76" s="42">
        <f>Compta!B77</f>
        <v>45576</v>
      </c>
      <c r="B76" s="43">
        <f>Compta!C77</f>
        <v>756800</v>
      </c>
      <c r="C76" s="44" t="str">
        <f>Compta!D77</f>
        <v>Cotisations reçues par CB 24-25</v>
      </c>
      <c r="D76" s="144">
        <f>Compta!E77</f>
        <v>472.5</v>
      </c>
      <c r="E76" s="144">
        <f>Compta!F77</f>
        <v>0</v>
      </c>
      <c r="F76" s="136">
        <f t="shared" si="1"/>
        <v>9578.61</v>
      </c>
      <c r="G76" s="130" t="str">
        <f>Compta!H77</f>
        <v>Oui</v>
      </c>
    </row>
    <row r="77" spans="1:7" ht="15" customHeight="1" x14ac:dyDescent="0.25">
      <c r="A77" s="42">
        <f>Compta!B78</f>
        <v>45579</v>
      </c>
      <c r="B77" s="43">
        <f>Compta!C78</f>
        <v>756800</v>
      </c>
      <c r="C77" s="44" t="str">
        <f>Compta!D78</f>
        <v>Cotisations reçues par CB 24-25</v>
      </c>
      <c r="D77" s="144">
        <f>Compta!E78</f>
        <v>135</v>
      </c>
      <c r="E77" s="144">
        <f>Compta!F78</f>
        <v>0</v>
      </c>
      <c r="F77" s="136">
        <f t="shared" si="1"/>
        <v>9615.380000000001</v>
      </c>
      <c r="G77" s="130" t="str">
        <f>Compta!H78</f>
        <v>Oui</v>
      </c>
    </row>
    <row r="78" spans="1:7" ht="15" customHeight="1" x14ac:dyDescent="0.25">
      <c r="A78" s="42">
        <f>Compta!B79</f>
        <v>45579</v>
      </c>
      <c r="B78" s="43">
        <f>Compta!C79</f>
        <v>756800</v>
      </c>
      <c r="C78" s="44" t="str">
        <f>Compta!D79</f>
        <v>Cotisations reçues par CB 24-25</v>
      </c>
      <c r="D78" s="144">
        <f>Compta!E79</f>
        <v>337.5</v>
      </c>
      <c r="E78" s="144">
        <f>Compta!F79</f>
        <v>0</v>
      </c>
      <c r="F78" s="136">
        <f t="shared" si="1"/>
        <v>9916.11</v>
      </c>
      <c r="G78" s="130" t="str">
        <f>Compta!H79</f>
        <v>Oui</v>
      </c>
    </row>
    <row r="79" spans="1:7" ht="15" customHeight="1" x14ac:dyDescent="0.25">
      <c r="A79" s="42">
        <f>Compta!B80</f>
        <v>45579</v>
      </c>
      <c r="B79" s="43">
        <f>Compta!C80</f>
        <v>756800</v>
      </c>
      <c r="C79" s="44" t="str">
        <f>Compta!D80</f>
        <v>Cotisations reçues par CB 24-25</v>
      </c>
      <c r="D79" s="144">
        <f>Compta!E80</f>
        <v>135</v>
      </c>
      <c r="E79" s="144">
        <f>Compta!F80</f>
        <v>0</v>
      </c>
      <c r="F79" s="136">
        <f t="shared" si="1"/>
        <v>9750.380000000001</v>
      </c>
      <c r="G79" s="130" t="str">
        <f>Compta!H80</f>
        <v>Oui</v>
      </c>
    </row>
    <row r="80" spans="1:7" ht="15" customHeight="1" x14ac:dyDescent="0.25">
      <c r="A80" s="42">
        <f>Compta!B81</f>
        <v>45580</v>
      </c>
      <c r="B80" s="43">
        <f>Compta!C81</f>
        <v>756800</v>
      </c>
      <c r="C80" s="44" t="str">
        <f>Compta!D81</f>
        <v>Cotisations reçues par CB 24-25</v>
      </c>
      <c r="D80" s="144">
        <f>Compta!E81</f>
        <v>135</v>
      </c>
      <c r="E80" s="144">
        <f>Compta!F81</f>
        <v>0</v>
      </c>
      <c r="F80" s="136">
        <f t="shared" si="1"/>
        <v>10051.11</v>
      </c>
      <c r="G80" s="130" t="str">
        <f>Compta!H81</f>
        <v>Oui</v>
      </c>
    </row>
    <row r="81" spans="1:7" ht="15" customHeight="1" x14ac:dyDescent="0.25">
      <c r="A81" s="42">
        <f>Compta!B82</f>
        <v>45581</v>
      </c>
      <c r="B81" s="43">
        <f>Compta!C82</f>
        <v>756800</v>
      </c>
      <c r="C81" s="44" t="str">
        <f>Compta!D82</f>
        <v>Cotisations reçues par CB 24-25</v>
      </c>
      <c r="D81" s="144">
        <f>Compta!E82</f>
        <v>202.5</v>
      </c>
      <c r="E81" s="144">
        <f>Compta!F82</f>
        <v>0</v>
      </c>
      <c r="F81" s="136">
        <f t="shared" si="1"/>
        <v>9952.880000000001</v>
      </c>
      <c r="G81" s="130" t="str">
        <f>Compta!H82</f>
        <v>Oui</v>
      </c>
    </row>
    <row r="82" spans="1:7" ht="15" customHeight="1" x14ac:dyDescent="0.25">
      <c r="A82" s="42">
        <f>Compta!B83</f>
        <v>45582</v>
      </c>
      <c r="B82" s="43">
        <f>Compta!C83</f>
        <v>756800</v>
      </c>
      <c r="C82" s="44" t="str">
        <f>Compta!D83</f>
        <v>Cotisations reçues par CB 24-25</v>
      </c>
      <c r="D82" s="144">
        <f>Compta!E83</f>
        <v>337.5</v>
      </c>
      <c r="E82" s="144">
        <f>Compta!F83</f>
        <v>0</v>
      </c>
      <c r="F82" s="136">
        <f t="shared" si="1"/>
        <v>10388.61</v>
      </c>
      <c r="G82" s="130" t="str">
        <f>Compta!H83</f>
        <v>Oui</v>
      </c>
    </row>
    <row r="83" spans="1:7" ht="15" customHeight="1" x14ac:dyDescent="0.25">
      <c r="A83" s="42">
        <f>Compta!B84</f>
        <v>45583</v>
      </c>
      <c r="B83" s="43">
        <f>Compta!C84</f>
        <v>756800</v>
      </c>
      <c r="C83" s="44" t="str">
        <f>Compta!D84</f>
        <v>Cotisations reçues par CB 24-25</v>
      </c>
      <c r="D83" s="144">
        <f>Compta!E84</f>
        <v>405</v>
      </c>
      <c r="E83" s="144">
        <f>Compta!F84</f>
        <v>0</v>
      </c>
      <c r="F83" s="136">
        <f t="shared" si="1"/>
        <v>10357.880000000001</v>
      </c>
      <c r="G83" s="130" t="str">
        <f>Compta!H84</f>
        <v>Oui</v>
      </c>
    </row>
    <row r="84" spans="1:7" ht="15" customHeight="1" x14ac:dyDescent="0.25">
      <c r="A84" s="42">
        <f>Compta!B85</f>
        <v>45583</v>
      </c>
      <c r="B84" s="43">
        <f>Compta!C85</f>
        <v>607200</v>
      </c>
      <c r="C84" s="44" t="str">
        <f>Compta!D85</f>
        <v>Virement - Rembours achat boissons et alimentation - AG GV Fitness du 17/10/24</v>
      </c>
      <c r="D84" s="144">
        <f>Compta!E85</f>
        <v>0</v>
      </c>
      <c r="E84" s="144">
        <f>Compta!F85</f>
        <v>8.1300000000000008</v>
      </c>
      <c r="F84" s="136">
        <f t="shared" si="1"/>
        <v>10380.480000000001</v>
      </c>
      <c r="G84" s="130" t="str">
        <f>Compta!H85</f>
        <v>Oui</v>
      </c>
    </row>
    <row r="85" spans="1:7" ht="15" customHeight="1" x14ac:dyDescent="0.25">
      <c r="A85" s="42">
        <f>Compta!B86</f>
        <v>45583</v>
      </c>
      <c r="B85" s="43" t="str">
        <f>Compta!C86</f>
        <v>-</v>
      </c>
      <c r="C85" s="44" t="str">
        <f>Compta!D86</f>
        <v>Virement banque vers livret (5 400 €)</v>
      </c>
      <c r="D85" s="144">
        <f>Compta!E86</f>
        <v>0</v>
      </c>
      <c r="E85" s="144">
        <f>Compta!F86</f>
        <v>0</v>
      </c>
      <c r="F85" s="136">
        <f t="shared" si="1"/>
        <v>10357.880000000001</v>
      </c>
      <c r="G85" s="130" t="str">
        <f>Compta!H86</f>
        <v>Oui</v>
      </c>
    </row>
    <row r="86" spans="1:7" ht="15" customHeight="1" x14ac:dyDescent="0.25">
      <c r="A86" s="42">
        <f>Compta!B87</f>
        <v>45586</v>
      </c>
      <c r="B86" s="43">
        <f>Compta!C87</f>
        <v>756800</v>
      </c>
      <c r="C86" s="44" t="str">
        <f>Compta!D87</f>
        <v>Cotisations reçues par CB 24-25</v>
      </c>
      <c r="D86" s="144">
        <f>Compta!E87</f>
        <v>472.5</v>
      </c>
      <c r="E86" s="144">
        <f>Compta!F87</f>
        <v>0</v>
      </c>
      <c r="F86" s="136">
        <f t="shared" si="1"/>
        <v>10852.980000000001</v>
      </c>
      <c r="G86" s="130" t="str">
        <f>Compta!H87</f>
        <v>Oui</v>
      </c>
    </row>
    <row r="87" spans="1:7" ht="15" customHeight="1" x14ac:dyDescent="0.25">
      <c r="A87" s="42">
        <f>Compta!B88</f>
        <v>45586</v>
      </c>
      <c r="B87" s="43">
        <f>Compta!C88</f>
        <v>756800</v>
      </c>
      <c r="C87" s="44" t="str">
        <f>Compta!D88</f>
        <v>Cotisations reçues par CB 24-25</v>
      </c>
      <c r="D87" s="144">
        <f>Compta!E88</f>
        <v>67.5</v>
      </c>
      <c r="E87" s="144">
        <f>Compta!F88</f>
        <v>0</v>
      </c>
      <c r="F87" s="136">
        <f t="shared" si="1"/>
        <v>10425.380000000001</v>
      </c>
      <c r="G87" s="130" t="str">
        <f>Compta!H88</f>
        <v>Oui</v>
      </c>
    </row>
    <row r="88" spans="1:7" ht="15" customHeight="1" x14ac:dyDescent="0.25">
      <c r="A88" s="42">
        <f>Compta!B89</f>
        <v>45586</v>
      </c>
      <c r="B88" s="43">
        <f>Compta!C89</f>
        <v>756800</v>
      </c>
      <c r="C88" s="44" t="str">
        <f>Compta!D89</f>
        <v>Cotisations reçues par CB 24-25</v>
      </c>
      <c r="D88" s="144">
        <f>Compta!E89</f>
        <v>202.5</v>
      </c>
      <c r="E88" s="144">
        <f>Compta!F89</f>
        <v>0</v>
      </c>
      <c r="F88" s="136">
        <f t="shared" si="1"/>
        <v>11055.480000000001</v>
      </c>
      <c r="G88" s="130" t="str">
        <f>Compta!H89</f>
        <v>Oui</v>
      </c>
    </row>
    <row r="89" spans="1:7" ht="15" customHeight="1" x14ac:dyDescent="0.25">
      <c r="A89" s="42">
        <f>Compta!B90</f>
        <v>45587</v>
      </c>
      <c r="B89" s="43">
        <f>Compta!C90</f>
        <v>756800</v>
      </c>
      <c r="C89" s="44" t="str">
        <f>Compta!D90</f>
        <v>Cotisations reçues par CB 24-25</v>
      </c>
      <c r="D89" s="144">
        <f>Compta!E90</f>
        <v>67.5</v>
      </c>
      <c r="E89" s="144">
        <f>Compta!F90</f>
        <v>0</v>
      </c>
      <c r="F89" s="136">
        <f t="shared" si="1"/>
        <v>10492.880000000001</v>
      </c>
      <c r="G89" s="130" t="str">
        <f>Compta!H90</f>
        <v>Oui</v>
      </c>
    </row>
    <row r="90" spans="1:7" ht="15" customHeight="1" x14ac:dyDescent="0.25">
      <c r="A90" s="42">
        <f>Compta!B91</f>
        <v>45588</v>
      </c>
      <c r="B90" s="43">
        <f>Compta!C91</f>
        <v>756800</v>
      </c>
      <c r="C90" s="44" t="str">
        <f>Compta!D91</f>
        <v>Cotisations reçues par CB 24-25</v>
      </c>
      <c r="D90" s="144">
        <f>Compta!E91</f>
        <v>67.5</v>
      </c>
      <c r="E90" s="144">
        <f>Compta!F91</f>
        <v>0</v>
      </c>
      <c r="F90" s="136">
        <f t="shared" si="1"/>
        <v>11122.980000000001</v>
      </c>
      <c r="G90" s="130" t="str">
        <f>Compta!H91</f>
        <v>Oui</v>
      </c>
    </row>
    <row r="91" spans="1:7" ht="15" customHeight="1" x14ac:dyDescent="0.25">
      <c r="A91" s="42">
        <f>Compta!B92</f>
        <v>45589</v>
      </c>
      <c r="B91" s="43">
        <f>Compta!C92</f>
        <v>756800</v>
      </c>
      <c r="C91" s="44" t="str">
        <f>Compta!D92</f>
        <v>Cotisations reçues par CB 24-25</v>
      </c>
      <c r="D91" s="144">
        <f>Compta!E92</f>
        <v>202.5</v>
      </c>
      <c r="E91" s="144">
        <f>Compta!F92</f>
        <v>0</v>
      </c>
      <c r="F91" s="136">
        <f t="shared" si="1"/>
        <v>10695.380000000001</v>
      </c>
      <c r="G91" s="130" t="str">
        <f>Compta!H92</f>
        <v>Oui</v>
      </c>
    </row>
    <row r="92" spans="1:7" ht="15" customHeight="1" x14ac:dyDescent="0.25">
      <c r="A92" s="42">
        <f>Compta!B93</f>
        <v>45592</v>
      </c>
      <c r="B92" s="43">
        <f>Compta!C93</f>
        <v>605100</v>
      </c>
      <c r="C92" s="44" t="str">
        <f>Compta!D93</f>
        <v>Virement Gévédit - Achats 20 barres lestées de 2kg</v>
      </c>
      <c r="D92" s="144">
        <f>Compta!E93</f>
        <v>0</v>
      </c>
      <c r="E92" s="144">
        <f>Compta!F93</f>
        <v>342.95</v>
      </c>
      <c r="F92" s="136">
        <f t="shared" si="1"/>
        <v>10780.03</v>
      </c>
      <c r="G92" s="130" t="str">
        <f>Compta!H93</f>
        <v>Oui</v>
      </c>
    </row>
    <row r="93" spans="1:7" ht="15" customHeight="1" x14ac:dyDescent="0.25">
      <c r="A93" s="42">
        <f>Compta!B94</f>
        <v>45593</v>
      </c>
      <c r="B93" s="43">
        <f>Compta!C94</f>
        <v>756800</v>
      </c>
      <c r="C93" s="44" t="str">
        <f>Compta!D94</f>
        <v>Cotisations reçues par CB 24-25</v>
      </c>
      <c r="D93" s="144">
        <f>Compta!E94</f>
        <v>67.5</v>
      </c>
      <c r="E93" s="144">
        <f>Compta!F94</f>
        <v>0</v>
      </c>
      <c r="F93" s="136">
        <f t="shared" si="1"/>
        <v>10762.880000000001</v>
      </c>
      <c r="G93" s="130" t="str">
        <f>Compta!H94</f>
        <v>Oui</v>
      </c>
    </row>
    <row r="94" spans="1:7" ht="15" customHeight="1" x14ac:dyDescent="0.25">
      <c r="A94" s="42">
        <f>Compta!B95</f>
        <v>45593</v>
      </c>
      <c r="B94" s="43">
        <f>Compta!C95</f>
        <v>756800</v>
      </c>
      <c r="C94" s="44" t="str">
        <f>Compta!D95</f>
        <v>Cotisations reçues par CB 24-25</v>
      </c>
      <c r="D94" s="144">
        <f>Compta!E95</f>
        <v>67.5</v>
      </c>
      <c r="E94" s="144">
        <f>Compta!F95</f>
        <v>0</v>
      </c>
      <c r="F94" s="136">
        <f t="shared" si="1"/>
        <v>10847.53</v>
      </c>
      <c r="G94" s="130" t="str">
        <f>Compta!H95</f>
        <v>Oui</v>
      </c>
    </row>
    <row r="95" spans="1:7" ht="15" customHeight="1" x14ac:dyDescent="0.25">
      <c r="A95" s="42">
        <f>Compta!B96</f>
        <v>45593</v>
      </c>
      <c r="B95" s="43">
        <f>Compta!C96</f>
        <v>756800</v>
      </c>
      <c r="C95" s="44" t="str">
        <f>Compta!D96</f>
        <v>Cotisations reçues par CB 24-25</v>
      </c>
      <c r="D95" s="144">
        <f>Compta!E96</f>
        <v>67.5</v>
      </c>
      <c r="E95" s="144">
        <f>Compta!F96</f>
        <v>0</v>
      </c>
      <c r="F95" s="136">
        <f t="shared" si="1"/>
        <v>10830.380000000001</v>
      </c>
      <c r="G95" s="130" t="str">
        <f>Compta!H96</f>
        <v>Oui</v>
      </c>
    </row>
    <row r="96" spans="1:7" ht="15" customHeight="1" x14ac:dyDescent="0.25">
      <c r="A96" s="42">
        <f>Compta!B97</f>
        <v>45593</v>
      </c>
      <c r="B96" s="43">
        <f>Compta!C97</f>
        <v>626200</v>
      </c>
      <c r="C96" s="44" t="str">
        <f>Compta!D97</f>
        <v>Frais Téléphone Sosh</v>
      </c>
      <c r="D96" s="144">
        <f>Compta!E97</f>
        <v>0</v>
      </c>
      <c r="E96" s="144">
        <f>Compta!F97</f>
        <v>5.99</v>
      </c>
      <c r="F96" s="136">
        <f t="shared" si="1"/>
        <v>10841.54</v>
      </c>
      <c r="G96" s="130" t="str">
        <f>Compta!H97</f>
        <v>Oui</v>
      </c>
    </row>
    <row r="97" spans="1:7" ht="15" customHeight="1" x14ac:dyDescent="0.25">
      <c r="A97" s="42">
        <f>Compta!B98</f>
        <v>45593</v>
      </c>
      <c r="B97" s="43">
        <f>Compta!C98</f>
        <v>605100</v>
      </c>
      <c r="C97" s="44" t="str">
        <f>Compta!D98</f>
        <v>Virement - Remboursement achat téléphone Galaxy A53 5G 128Go</v>
      </c>
      <c r="D97" s="144">
        <f>Compta!E98</f>
        <v>0</v>
      </c>
      <c r="E97" s="144">
        <f>Compta!F98</f>
        <v>193.49</v>
      </c>
      <c r="F97" s="136">
        <f t="shared" si="1"/>
        <v>10636.890000000001</v>
      </c>
      <c r="G97" s="130" t="str">
        <f>Compta!H98</f>
        <v>Oui</v>
      </c>
    </row>
    <row r="98" spans="1:7" ht="15" customHeight="1" x14ac:dyDescent="0.25">
      <c r="A98" s="42">
        <f>Compta!B99</f>
        <v>45594</v>
      </c>
      <c r="B98" s="43">
        <f>Compta!C99</f>
        <v>756800</v>
      </c>
      <c r="C98" s="44" t="str">
        <f>Compta!D99</f>
        <v>Cotisations reçues par CB 24-25</v>
      </c>
      <c r="D98" s="144">
        <f>Compta!E99</f>
        <v>67.5</v>
      </c>
      <c r="E98" s="144">
        <f>Compta!F99</f>
        <v>0</v>
      </c>
      <c r="F98" s="136">
        <f t="shared" si="1"/>
        <v>10909.04</v>
      </c>
      <c r="G98" s="130" t="str">
        <f>Compta!H99</f>
        <v>Oui</v>
      </c>
    </row>
    <row r="99" spans="1:7" ht="15" customHeight="1" x14ac:dyDescent="0.25">
      <c r="A99" s="42">
        <f>Compta!B100</f>
        <v>45595</v>
      </c>
      <c r="B99" s="43">
        <f>Compta!C100</f>
        <v>756800</v>
      </c>
      <c r="C99" s="44" t="str">
        <f>Compta!D100</f>
        <v>Cotisations reçues par CB 24-25</v>
      </c>
      <c r="D99" s="144">
        <f>Compta!E100</f>
        <v>202.5</v>
      </c>
      <c r="E99" s="144">
        <f>Compta!F100</f>
        <v>0</v>
      </c>
      <c r="F99" s="136">
        <f t="shared" si="1"/>
        <v>10839.390000000001</v>
      </c>
      <c r="G99" s="130" t="str">
        <f>Compta!H100</f>
        <v>Oui</v>
      </c>
    </row>
    <row r="100" spans="1:7" ht="15" customHeight="1" x14ac:dyDescent="0.25">
      <c r="A100" s="42">
        <f>Compta!B101</f>
        <v>45596</v>
      </c>
      <c r="B100" s="43">
        <f>Compta!C101</f>
        <v>756800</v>
      </c>
      <c r="C100" s="44" t="str">
        <f>Compta!D101</f>
        <v>Cotisations reçues par CB 24-25</v>
      </c>
      <c r="D100" s="144">
        <f>Compta!E101</f>
        <v>135</v>
      </c>
      <c r="E100" s="144">
        <f>Compta!F101</f>
        <v>0</v>
      </c>
      <c r="F100" s="136">
        <f t="shared" si="1"/>
        <v>11044.04</v>
      </c>
      <c r="G100" s="130" t="str">
        <f>Compta!H101</f>
        <v>Oui</v>
      </c>
    </row>
    <row r="101" spans="1:7" ht="15" customHeight="1" x14ac:dyDescent="0.25">
      <c r="A101" s="42">
        <f>Compta!B102</f>
        <v>45596</v>
      </c>
      <c r="B101" s="43">
        <f>Compta!C102</f>
        <v>641200</v>
      </c>
      <c r="C101" s="44" t="str">
        <f>Compta!D102</f>
        <v>Virement salaires Octobre 2024 KOBLAN-HUBERSON</v>
      </c>
      <c r="D101" s="144">
        <f>Compta!E102</f>
        <v>0</v>
      </c>
      <c r="E101" s="144">
        <f>Compta!F102</f>
        <v>527.86</v>
      </c>
      <c r="F101" s="136">
        <f t="shared" si="1"/>
        <v>10311.530000000001</v>
      </c>
      <c r="G101" s="130" t="str">
        <f>Compta!H102</f>
        <v>Oui</v>
      </c>
    </row>
    <row r="102" spans="1:7" ht="15" customHeight="1" x14ac:dyDescent="0.25">
      <c r="A102" s="42">
        <f>Compta!B103</f>
        <v>45596</v>
      </c>
      <c r="B102" s="43">
        <f>Compta!C103</f>
        <v>641200</v>
      </c>
      <c r="C102" s="44" t="str">
        <f>Compta!D103</f>
        <v>Virement salaires Octobre 2024 LE DUC</v>
      </c>
      <c r="D102" s="144">
        <f>Compta!E103</f>
        <v>0</v>
      </c>
      <c r="E102" s="144">
        <f>Compta!F103</f>
        <v>347.95</v>
      </c>
      <c r="F102" s="136">
        <f t="shared" si="1"/>
        <v>10696.09</v>
      </c>
      <c r="G102" s="130" t="str">
        <f>Compta!H103</f>
        <v>Oui</v>
      </c>
    </row>
    <row r="103" spans="1:7" ht="15" customHeight="1" x14ac:dyDescent="0.25">
      <c r="A103" s="42">
        <f>Compta!B104</f>
        <v>45596</v>
      </c>
      <c r="B103" s="43">
        <f>Compta!C104</f>
        <v>641200</v>
      </c>
      <c r="C103" s="44" t="str">
        <f>Compta!D104</f>
        <v>Virement salaires Octobre 2024 MANSBENDEL</v>
      </c>
      <c r="D103" s="144">
        <f>Compta!E104</f>
        <v>0</v>
      </c>
      <c r="E103" s="144">
        <f>Compta!F104</f>
        <v>174.58</v>
      </c>
      <c r="F103" s="136">
        <f t="shared" si="1"/>
        <v>10136.950000000001</v>
      </c>
      <c r="G103" s="130" t="str">
        <f>Compta!H104</f>
        <v>Oui</v>
      </c>
    </row>
    <row r="104" spans="1:7" ht="15" customHeight="1" x14ac:dyDescent="0.25">
      <c r="A104" s="42">
        <f>Compta!B105</f>
        <v>45596</v>
      </c>
      <c r="B104" s="43">
        <f>Compta!C105</f>
        <v>641200</v>
      </c>
      <c r="C104" s="44" t="str">
        <f>Compta!D105</f>
        <v>Virement salaires Octobre 2024 NGUYEN TUONG</v>
      </c>
      <c r="D104" s="144">
        <f>Compta!E105</f>
        <v>0</v>
      </c>
      <c r="E104" s="144">
        <f>Compta!F105</f>
        <v>504.06</v>
      </c>
      <c r="F104" s="136">
        <f t="shared" si="1"/>
        <v>10192.030000000001</v>
      </c>
      <c r="G104" s="130" t="str">
        <f>Compta!H105</f>
        <v>Oui</v>
      </c>
    </row>
    <row r="105" spans="1:7" ht="15" customHeight="1" x14ac:dyDescent="0.25">
      <c r="A105" s="42">
        <f>Compta!B106</f>
        <v>45596</v>
      </c>
      <c r="B105" s="43">
        <f>Compta!C106</f>
        <v>641200</v>
      </c>
      <c r="C105" s="44" t="str">
        <f>Compta!D106</f>
        <v>Virement salaires Octobre 2024 PIQUET</v>
      </c>
      <c r="D105" s="144">
        <f>Compta!E106</f>
        <v>0</v>
      </c>
      <c r="E105" s="144">
        <f>Compta!F106</f>
        <v>422.06</v>
      </c>
      <c r="F105" s="136">
        <f t="shared" si="1"/>
        <v>9714.8900000000012</v>
      </c>
      <c r="G105" s="130" t="str">
        <f>Compta!H106</f>
        <v>Oui</v>
      </c>
    </row>
    <row r="106" spans="1:7" ht="15" customHeight="1" x14ac:dyDescent="0.25">
      <c r="A106" s="42">
        <f>Compta!B107</f>
        <v>45596</v>
      </c>
      <c r="B106" s="43">
        <f>Compta!C107</f>
        <v>645800</v>
      </c>
      <c r="C106" s="44" t="str">
        <f>Compta!D107</f>
        <v>Charges sociales Octobre 2024</v>
      </c>
      <c r="D106" s="144">
        <f>Compta!E107</f>
        <v>0</v>
      </c>
      <c r="E106" s="144">
        <f>Compta!F107</f>
        <v>836.79</v>
      </c>
      <c r="F106" s="136">
        <f t="shared" si="1"/>
        <v>9355.2400000000016</v>
      </c>
      <c r="G106" s="130" t="str">
        <f>Compta!H107</f>
        <v>Oui</v>
      </c>
    </row>
    <row r="107" spans="1:7" ht="15" customHeight="1" x14ac:dyDescent="0.25">
      <c r="A107" s="42">
        <f>Compta!B108</f>
        <v>45596</v>
      </c>
      <c r="B107" s="43">
        <f>Compta!C108</f>
        <v>645700</v>
      </c>
      <c r="C107" s="44" t="str">
        <f>Compta!D108</f>
        <v>Prélèvement à la source Octobre 2024</v>
      </c>
      <c r="D107" s="144">
        <f>Compta!E108</f>
        <v>0</v>
      </c>
      <c r="E107" s="144">
        <f>Compta!F108</f>
        <v>71.400000000000006</v>
      </c>
      <c r="F107" s="136">
        <f t="shared" si="1"/>
        <v>9643.4900000000016</v>
      </c>
      <c r="G107" s="130" t="str">
        <f>Compta!H108</f>
        <v>Oui</v>
      </c>
    </row>
    <row r="108" spans="1:7" ht="15" customHeight="1" x14ac:dyDescent="0.25">
      <c r="A108" s="42">
        <f>Compta!B109</f>
        <v>45596</v>
      </c>
      <c r="B108" s="43">
        <f>Compta!C109</f>
        <v>622610</v>
      </c>
      <c r="C108" s="44" t="str">
        <f>Compta!D109</f>
        <v>Frais du cabinet comptable par salarié Octobre 2024</v>
      </c>
      <c r="D108" s="144">
        <f>Compta!E109</f>
        <v>0</v>
      </c>
      <c r="E108" s="144">
        <f>Compta!F109</f>
        <v>105</v>
      </c>
      <c r="F108" s="136">
        <f t="shared" si="1"/>
        <v>9250.2400000000016</v>
      </c>
      <c r="G108" s="130" t="str">
        <f>Compta!H109</f>
        <v>Oui</v>
      </c>
    </row>
    <row r="109" spans="1:7" ht="15" customHeight="1" x14ac:dyDescent="0.25">
      <c r="A109" s="42">
        <f>Compta!B110</f>
        <v>45596</v>
      </c>
      <c r="B109" s="43">
        <f>Compta!C110</f>
        <v>622640</v>
      </c>
      <c r="C109" s="44" t="str">
        <f>Compta!D110</f>
        <v>Virement - Remplacement HIIT 2/9/16/23/30 oct 24 (5h) + Cours Pilates 2/9/16/23/30 oct 24 (5h)</v>
      </c>
      <c r="D109" s="144">
        <f>Compta!E110</f>
        <v>0</v>
      </c>
      <c r="E109" s="144">
        <f>Compta!F110</f>
        <v>400</v>
      </c>
      <c r="F109" s="136">
        <f t="shared" si="1"/>
        <v>9243.4900000000016</v>
      </c>
      <c r="G109" s="130" t="str">
        <f>Compta!H110</f>
        <v>Oui</v>
      </c>
    </row>
    <row r="110" spans="1:7" ht="15" customHeight="1" x14ac:dyDescent="0.25">
      <c r="A110" s="42">
        <f>Compta!B111</f>
        <v>45596</v>
      </c>
      <c r="B110" s="43">
        <f>Compta!C111</f>
        <v>605100</v>
      </c>
      <c r="C110" s="44" t="str">
        <f>Compta!D111</f>
        <v>Virement - Remboursement achat carte sim pour téléphone Galaxy A53 5G 128Go</v>
      </c>
      <c r="D110" s="144">
        <f>Compta!E111</f>
        <v>0</v>
      </c>
      <c r="E110" s="144">
        <f>Compta!F111</f>
        <v>10</v>
      </c>
      <c r="F110" s="136">
        <f t="shared" si="1"/>
        <v>9240.2400000000016</v>
      </c>
      <c r="G110" s="130" t="str">
        <f>Compta!H111</f>
        <v>Oui</v>
      </c>
    </row>
    <row r="111" spans="1:7" ht="15" customHeight="1" x14ac:dyDescent="0.25">
      <c r="A111" s="42">
        <f>Compta!B112</f>
        <v>45597</v>
      </c>
      <c r="B111" s="43">
        <f>Compta!C112</f>
        <v>756800</v>
      </c>
      <c r="C111" s="44" t="str">
        <f>Compta!D112</f>
        <v>Cotisations reçues par CB 24-25</v>
      </c>
      <c r="D111" s="144">
        <f>Compta!E112</f>
        <v>67.5</v>
      </c>
      <c r="E111" s="144">
        <f>Compta!F112</f>
        <v>0</v>
      </c>
      <c r="F111" s="136">
        <f t="shared" si="1"/>
        <v>9310.9900000000016</v>
      </c>
      <c r="G111" s="130" t="str">
        <f>Compta!H112</f>
        <v>Oui</v>
      </c>
    </row>
    <row r="112" spans="1:7" ht="15" customHeight="1" x14ac:dyDescent="0.25">
      <c r="A112" s="42">
        <f>Compta!B113</f>
        <v>45598</v>
      </c>
      <c r="B112" s="43">
        <f>Compta!C113</f>
        <v>652100</v>
      </c>
      <c r="C112" s="44" t="str">
        <f>Compta!D113</f>
        <v>Virement - Licences FFEPGV 2024/2025</v>
      </c>
      <c r="D112" s="144">
        <f>Compta!E113</f>
        <v>0</v>
      </c>
      <c r="E112" s="144">
        <f>Compta!F113</f>
        <v>354</v>
      </c>
      <c r="F112" s="136">
        <f t="shared" si="1"/>
        <v>8886.2400000000016</v>
      </c>
      <c r="G112" s="130" t="str">
        <f>Compta!H113</f>
        <v>Oui</v>
      </c>
    </row>
    <row r="113" spans="1:7" ht="15" customHeight="1" x14ac:dyDescent="0.25">
      <c r="A113" s="42">
        <f>Compta!B114</f>
        <v>45600</v>
      </c>
      <c r="B113" s="43">
        <f>Compta!C114</f>
        <v>756800</v>
      </c>
      <c r="C113" s="44" t="str">
        <f>Compta!D114</f>
        <v>Cotisations 24-25 payées en espèces déposées en banque</v>
      </c>
      <c r="D113" s="144">
        <f>Compta!E114</f>
        <v>135</v>
      </c>
      <c r="E113" s="144">
        <f>Compta!F114</f>
        <v>0</v>
      </c>
      <c r="F113" s="136">
        <f t="shared" si="1"/>
        <v>9445.9900000000016</v>
      </c>
      <c r="G113" s="130" t="str">
        <f>Compta!H114</f>
        <v>Oui</v>
      </c>
    </row>
    <row r="114" spans="1:7" ht="15" customHeight="1" x14ac:dyDescent="0.25">
      <c r="A114" s="42">
        <f>Compta!B115</f>
        <v>45600</v>
      </c>
      <c r="B114" s="43" t="str">
        <f>Compta!C115</f>
        <v>-</v>
      </c>
      <c r="C114" s="44" t="str">
        <f>Compta!D115</f>
        <v>Dépôt espèces caisse en banque (15 €)</v>
      </c>
      <c r="D114" s="144">
        <f>Compta!E115</f>
        <v>0</v>
      </c>
      <c r="E114" s="144">
        <f>Compta!F115</f>
        <v>0</v>
      </c>
      <c r="F114" s="136">
        <f t="shared" si="1"/>
        <v>8886.2400000000016</v>
      </c>
      <c r="G114" s="130" t="str">
        <f>Compta!H115</f>
        <v>Oui</v>
      </c>
    </row>
    <row r="115" spans="1:7" ht="15" customHeight="1" x14ac:dyDescent="0.25">
      <c r="A115" s="42">
        <f>Compta!B116</f>
        <v>45600</v>
      </c>
      <c r="B115" s="43">
        <f>Compta!C116</f>
        <v>756800</v>
      </c>
      <c r="C115" s="44" t="str">
        <f>Compta!D116</f>
        <v>Cotisations 24-25 payées par chèques (écart de 5€)</v>
      </c>
      <c r="D115" s="144">
        <f>Compta!E116</f>
        <v>1899.25</v>
      </c>
      <c r="E115" s="144">
        <f>Compta!F116</f>
        <v>0</v>
      </c>
      <c r="F115" s="136">
        <f t="shared" si="1"/>
        <v>11345.240000000002</v>
      </c>
      <c r="G115" s="130" t="str">
        <f>Compta!H116</f>
        <v>Oui</v>
      </c>
    </row>
    <row r="116" spans="1:7" ht="15" customHeight="1" x14ac:dyDescent="0.25">
      <c r="A116" s="42">
        <f>Compta!B117</f>
        <v>45601</v>
      </c>
      <c r="B116" s="43">
        <f>Compta!C117</f>
        <v>756800</v>
      </c>
      <c r="C116" s="44" t="str">
        <f>Compta!D117</f>
        <v>Cotisations reçues par CB 24-25</v>
      </c>
      <c r="D116" s="144">
        <f>Compta!E117</f>
        <v>202.5</v>
      </c>
      <c r="E116" s="144">
        <f>Compta!F117</f>
        <v>0</v>
      </c>
      <c r="F116" s="136">
        <f t="shared" si="1"/>
        <v>9088.7400000000016</v>
      </c>
      <c r="G116" s="130" t="str">
        <f>Compta!H117</f>
        <v>Oui</v>
      </c>
    </row>
    <row r="117" spans="1:7" ht="15" customHeight="1" x14ac:dyDescent="0.25">
      <c r="A117" s="42">
        <f>Compta!B118</f>
        <v>45602</v>
      </c>
      <c r="B117" s="43">
        <f>Compta!C118</f>
        <v>768010</v>
      </c>
      <c r="C117" s="44" t="str">
        <f>Compta!D118</f>
        <v>Cotisations chèques ANCV (965 € moins 2,5% frais)</v>
      </c>
      <c r="D117" s="144">
        <f>Compta!E118</f>
        <v>940.87</v>
      </c>
      <c r="E117" s="144">
        <f>Compta!F118</f>
        <v>0</v>
      </c>
      <c r="F117" s="136">
        <f t="shared" si="1"/>
        <v>12286.110000000002</v>
      </c>
      <c r="G117" s="130" t="str">
        <f>Compta!H118</f>
        <v>Oui</v>
      </c>
    </row>
    <row r="118" spans="1:7" ht="15" customHeight="1" x14ac:dyDescent="0.25">
      <c r="A118" s="42">
        <f>Compta!B119</f>
        <v>45602</v>
      </c>
      <c r="B118" s="43">
        <f>Compta!C119</f>
        <v>768020</v>
      </c>
      <c r="C118" s="44" t="str">
        <f>Compta!D119</f>
        <v>Cotisations coupons sport (120 € moins 2,5% frais)</v>
      </c>
      <c r="D118" s="144">
        <f>Compta!E119</f>
        <v>117</v>
      </c>
      <c r="E118" s="144">
        <f>Compta!F119</f>
        <v>0</v>
      </c>
      <c r="F118" s="136">
        <f t="shared" si="1"/>
        <v>9205.7400000000016</v>
      </c>
      <c r="G118" s="130" t="str">
        <f>Compta!H119</f>
        <v>Oui</v>
      </c>
    </row>
    <row r="119" spans="1:7" ht="15" customHeight="1" x14ac:dyDescent="0.25">
      <c r="A119" s="42">
        <f>Compta!B120</f>
        <v>45607</v>
      </c>
      <c r="B119" s="43">
        <f>Compta!C120</f>
        <v>627800</v>
      </c>
      <c r="C119" s="44" t="str">
        <f>Compta!D120</f>
        <v>Cotisation annuelle pour carte de dépôt (Facture n°SGT24060610005046 du 05/11/24)</v>
      </c>
      <c r="D119" s="144">
        <f>Compta!E120</f>
        <v>0</v>
      </c>
      <c r="E119" s="144">
        <f>Compta!F120</f>
        <v>6.75</v>
      </c>
      <c r="F119" s="136">
        <f t="shared" si="1"/>
        <v>12279.360000000002</v>
      </c>
      <c r="G119" s="130" t="str">
        <f>Compta!H120</f>
        <v>Oui</v>
      </c>
    </row>
    <row r="120" spans="1:7" ht="15" customHeight="1" x14ac:dyDescent="0.25">
      <c r="A120" s="42">
        <f>Compta!B121</f>
        <v>45607</v>
      </c>
      <c r="B120" s="43">
        <f>Compta!C121</f>
        <v>756800</v>
      </c>
      <c r="C120" s="44" t="str">
        <f>Compta!D121</f>
        <v>Cotisations reçues par CB 24-25</v>
      </c>
      <c r="D120" s="144">
        <f>Compta!E121</f>
        <v>67.5</v>
      </c>
      <c r="E120" s="144">
        <f>Compta!F121</f>
        <v>0</v>
      </c>
      <c r="F120" s="136">
        <f t="shared" si="1"/>
        <v>9273.2400000000016</v>
      </c>
      <c r="G120" s="130" t="str">
        <f>Compta!H121</f>
        <v>Oui</v>
      </c>
    </row>
    <row r="121" spans="1:7" ht="15" customHeight="1" x14ac:dyDescent="0.25">
      <c r="A121" s="42">
        <f>Compta!B122</f>
        <v>45618</v>
      </c>
      <c r="B121" s="43">
        <f>Compta!C122</f>
        <v>756800</v>
      </c>
      <c r="C121" s="44" t="str">
        <f>Compta!D122</f>
        <v>Cotisations reçues par CB 24-25</v>
      </c>
      <c r="D121" s="144">
        <f>Compta!E122</f>
        <v>67.5</v>
      </c>
      <c r="E121" s="144">
        <f>Compta!F122</f>
        <v>0</v>
      </c>
      <c r="F121" s="136">
        <f t="shared" si="1"/>
        <v>12346.860000000002</v>
      </c>
      <c r="G121" s="130" t="str">
        <f>Compta!H122</f>
        <v>Oui</v>
      </c>
    </row>
    <row r="122" spans="1:7" ht="15" customHeight="1" x14ac:dyDescent="0.25">
      <c r="A122" s="42">
        <f>Compta!B123</f>
        <v>45618</v>
      </c>
      <c r="B122" s="43">
        <f>Compta!C123</f>
        <v>626200</v>
      </c>
      <c r="C122" s="44" t="str">
        <f>Compta!D123</f>
        <v>Frais Téléphone Sosh</v>
      </c>
      <c r="D122" s="144">
        <f>Compta!E123</f>
        <v>0</v>
      </c>
      <c r="E122" s="144">
        <f>Compta!F123</f>
        <v>9.99</v>
      </c>
      <c r="F122" s="136">
        <f t="shared" si="1"/>
        <v>9263.2500000000018</v>
      </c>
      <c r="G122" s="130" t="str">
        <f>Compta!H123</f>
        <v>Oui</v>
      </c>
    </row>
    <row r="123" spans="1:7" ht="15" customHeight="1" x14ac:dyDescent="0.25">
      <c r="A123" s="42">
        <f>Compta!B124</f>
        <v>45620</v>
      </c>
      <c r="B123" s="43">
        <f>Compta!C124</f>
        <v>641200</v>
      </c>
      <c r="C123" s="44" t="str">
        <f>Compta!D124</f>
        <v>Virement Avance sur salaires Novembre 2024 LE DUC</v>
      </c>
      <c r="D123" s="144">
        <f>Compta!E124</f>
        <v>0</v>
      </c>
      <c r="E123" s="144">
        <f>Compta!F124</f>
        <v>280</v>
      </c>
      <c r="F123" s="136">
        <f t="shared" si="1"/>
        <v>12066.860000000002</v>
      </c>
      <c r="G123" s="130" t="str">
        <f>Compta!H124</f>
        <v>Oui</v>
      </c>
    </row>
    <row r="124" spans="1:7" ht="15" customHeight="1" x14ac:dyDescent="0.25">
      <c r="A124" s="42">
        <f>Compta!B125</f>
        <v>45622</v>
      </c>
      <c r="B124" s="43">
        <f>Compta!C125</f>
        <v>756800</v>
      </c>
      <c r="C124" s="44" t="str">
        <f>Compta!D125</f>
        <v>Cotisations 24-25 payées par chèques (régularisation écart de 5€)</v>
      </c>
      <c r="D124" s="144">
        <f>Compta!E125</f>
        <v>5</v>
      </c>
      <c r="E124" s="144">
        <f>Compta!F125</f>
        <v>0</v>
      </c>
      <c r="F124" s="136">
        <f t="shared" si="1"/>
        <v>9268.2500000000018</v>
      </c>
      <c r="G124" s="130" t="str">
        <f>Compta!H125</f>
        <v>Oui</v>
      </c>
    </row>
    <row r="125" spans="1:7" ht="15" customHeight="1" x14ac:dyDescent="0.25">
      <c r="A125" s="42">
        <f>Compta!B126</f>
        <v>45624</v>
      </c>
      <c r="B125" s="43">
        <f>Compta!C126</f>
        <v>626200</v>
      </c>
      <c r="C125" s="44" t="str">
        <f>Compta!D126</f>
        <v>Frais Téléphone Sosh</v>
      </c>
      <c r="D125" s="144">
        <f>Compta!E126</f>
        <v>0</v>
      </c>
      <c r="E125" s="144">
        <f>Compta!F126</f>
        <v>5.99</v>
      </c>
      <c r="F125" s="136">
        <f t="shared" si="1"/>
        <v>12060.870000000003</v>
      </c>
      <c r="G125" s="130" t="str">
        <f>Compta!H126</f>
        <v>Oui</v>
      </c>
    </row>
    <row r="126" spans="1:7" ht="15" customHeight="1" x14ac:dyDescent="0.25">
      <c r="A126" s="42">
        <f>Compta!B127</f>
        <v>45624</v>
      </c>
      <c r="B126" s="43">
        <f>Compta!C127</f>
        <v>622640</v>
      </c>
      <c r="C126" s="44" t="str">
        <f>Compta!D127</f>
        <v>Virement - Remplacement HIIT 13/20/27 nov 24 (3h) + Cours Pilates 13/20/27 nov 24 (3h)</v>
      </c>
      <c r="D126" s="144">
        <f>Compta!E127</f>
        <v>0</v>
      </c>
      <c r="E126" s="144">
        <f>Compta!F127</f>
        <v>240</v>
      </c>
      <c r="F126" s="136">
        <f t="shared" si="1"/>
        <v>9028.2500000000018</v>
      </c>
      <c r="G126" s="130" t="str">
        <f>Compta!H127</f>
        <v>Oui</v>
      </c>
    </row>
    <row r="127" spans="1:7" ht="15" customHeight="1" x14ac:dyDescent="0.25">
      <c r="A127" s="42">
        <f>Compta!B128</f>
        <v>45626</v>
      </c>
      <c r="B127" s="43">
        <f>Compta!C128</f>
        <v>641200</v>
      </c>
      <c r="C127" s="44" t="str">
        <f>Compta!D128</f>
        <v>Virement salaires Novembre 2024 KOBLAN-HUBERSON</v>
      </c>
      <c r="D127" s="144">
        <f>Compta!E128</f>
        <v>0</v>
      </c>
      <c r="E127" s="144">
        <f>Compta!F128</f>
        <v>595.91999999999996</v>
      </c>
      <c r="F127" s="136">
        <f t="shared" si="1"/>
        <v>11464.950000000003</v>
      </c>
      <c r="G127" s="130" t="str">
        <f>Compta!H128</f>
        <v>Oui</v>
      </c>
    </row>
    <row r="128" spans="1:7" ht="15" customHeight="1" x14ac:dyDescent="0.25">
      <c r="A128" s="42">
        <f>Compta!B129</f>
        <v>45626</v>
      </c>
      <c r="B128" s="43">
        <f>Compta!C129</f>
        <v>641200</v>
      </c>
      <c r="C128" s="44" t="str">
        <f>Compta!D129</f>
        <v>Virement salaires Novembre 2024 LE DUC</v>
      </c>
      <c r="D128" s="144">
        <f>Compta!E129</f>
        <v>0</v>
      </c>
      <c r="E128" s="144">
        <f>Compta!F129</f>
        <v>22.57</v>
      </c>
      <c r="F128" s="136">
        <f t="shared" si="1"/>
        <v>9005.6800000000021</v>
      </c>
      <c r="G128" s="130" t="str">
        <f>Compta!H129</f>
        <v>Oui</v>
      </c>
    </row>
    <row r="129" spans="1:7" ht="15" customHeight="1" x14ac:dyDescent="0.25">
      <c r="A129" s="42">
        <f>Compta!B130</f>
        <v>45626</v>
      </c>
      <c r="B129" s="43">
        <f>Compta!C130</f>
        <v>641200</v>
      </c>
      <c r="C129" s="44" t="str">
        <f>Compta!D130</f>
        <v>Virement salaires Novembre 2024 MANSBENDEL</v>
      </c>
      <c r="D129" s="144">
        <f>Compta!E130</f>
        <v>0</v>
      </c>
      <c r="E129" s="144">
        <f>Compta!F130</f>
        <v>72.25</v>
      </c>
      <c r="F129" s="136">
        <f t="shared" si="1"/>
        <v>11392.700000000003</v>
      </c>
      <c r="G129" s="130" t="str">
        <f>Compta!H130</f>
        <v>Oui</v>
      </c>
    </row>
    <row r="130" spans="1:7" ht="15" customHeight="1" x14ac:dyDescent="0.25">
      <c r="A130" s="42">
        <f>Compta!B131</f>
        <v>45626</v>
      </c>
      <c r="B130" s="43">
        <f>Compta!C131</f>
        <v>641200</v>
      </c>
      <c r="C130" s="44" t="str">
        <f>Compta!D131</f>
        <v>Virement salaires Novembre 2024 NGUYEN TUONG</v>
      </c>
      <c r="D130" s="144">
        <f>Compta!E131</f>
        <v>0</v>
      </c>
      <c r="E130" s="144">
        <f>Compta!F131</f>
        <v>504.06</v>
      </c>
      <c r="F130" s="136">
        <f t="shared" si="1"/>
        <v>8501.6200000000026</v>
      </c>
      <c r="G130" s="130" t="str">
        <f>Compta!H131</f>
        <v>Oui</v>
      </c>
    </row>
    <row r="131" spans="1:7" ht="15" customHeight="1" x14ac:dyDescent="0.25">
      <c r="A131" s="42">
        <f>Compta!B132</f>
        <v>45626</v>
      </c>
      <c r="B131" s="43">
        <f>Compta!C132</f>
        <v>641200</v>
      </c>
      <c r="C131" s="44" t="str">
        <f>Compta!D132</f>
        <v>Virement salaires Novembre 2024 PIQUET</v>
      </c>
      <c r="D131" s="144">
        <f>Compta!E132</f>
        <v>0</v>
      </c>
      <c r="E131" s="144">
        <f>Compta!F132</f>
        <v>230.69</v>
      </c>
      <c r="F131" s="136">
        <f t="shared" si="1"/>
        <v>11162.010000000002</v>
      </c>
      <c r="G131" s="130" t="str">
        <f>Compta!H132</f>
        <v>Oui</v>
      </c>
    </row>
    <row r="132" spans="1:7" ht="15" customHeight="1" x14ac:dyDescent="0.25">
      <c r="A132" s="42">
        <f>Compta!B133</f>
        <v>45626</v>
      </c>
      <c r="B132" s="43">
        <f>Compta!C133</f>
        <v>645800</v>
      </c>
      <c r="C132" s="44" t="str">
        <f>Compta!D133</f>
        <v>Charges sociales Novembre 2024</v>
      </c>
      <c r="D132" s="144">
        <f>Compta!E133</f>
        <v>0</v>
      </c>
      <c r="E132" s="144">
        <f>Compta!F133</f>
        <v>650.35</v>
      </c>
      <c r="F132" s="136">
        <f t="shared" si="1"/>
        <v>7851.2700000000023</v>
      </c>
      <c r="G132" s="130" t="str">
        <f>Compta!H133</f>
        <v>Oui</v>
      </c>
    </row>
    <row r="133" spans="1:7" ht="15" customHeight="1" x14ac:dyDescent="0.25">
      <c r="A133" s="42">
        <f>Compta!B134</f>
        <v>45626</v>
      </c>
      <c r="B133" s="43">
        <f>Compta!C134</f>
        <v>645700</v>
      </c>
      <c r="C133" s="44" t="str">
        <f>Compta!D134</f>
        <v>Prélèvement à la source Novembre 2024</v>
      </c>
      <c r="D133" s="144">
        <f>Compta!E134</f>
        <v>0</v>
      </c>
      <c r="E133" s="144">
        <f>Compta!F134</f>
        <v>42.98</v>
      </c>
      <c r="F133" s="136">
        <f t="shared" si="1"/>
        <v>11119.030000000002</v>
      </c>
      <c r="G133" s="130" t="str">
        <f>Compta!H134</f>
        <v>Oui</v>
      </c>
    </row>
    <row r="134" spans="1:7" ht="15" customHeight="1" x14ac:dyDescent="0.25">
      <c r="A134" s="42">
        <f>Compta!B135</f>
        <v>45626</v>
      </c>
      <c r="B134" s="43">
        <f>Compta!C135</f>
        <v>622610</v>
      </c>
      <c r="C134" s="44" t="str">
        <f>Compta!D135</f>
        <v>Frais du cabinet comptable par salarié Novembre 2024</v>
      </c>
      <c r="D134" s="144">
        <f>Compta!E135</f>
        <v>0</v>
      </c>
      <c r="E134" s="144">
        <f>Compta!F135</f>
        <v>105</v>
      </c>
      <c r="F134" s="136">
        <f t="shared" si="1"/>
        <v>7746.2700000000023</v>
      </c>
      <c r="G134" s="130" t="str">
        <f>Compta!H135</f>
        <v>Oui</v>
      </c>
    </row>
    <row r="135" spans="1:7" ht="15" customHeight="1" x14ac:dyDescent="0.25">
      <c r="A135" s="42">
        <f>Compta!B136</f>
        <v>45627</v>
      </c>
      <c r="B135" s="43">
        <f>Compta!C136</f>
        <v>622640</v>
      </c>
      <c r="C135" s="44" t="str">
        <f>Compta!D136</f>
        <v>Virement - Remplacement cours samedi 09/11/2024 (1h30)</v>
      </c>
      <c r="D135" s="144">
        <f>Compta!E136</f>
        <v>0</v>
      </c>
      <c r="E135" s="144">
        <f>Compta!F136</f>
        <v>52</v>
      </c>
      <c r="F135" s="136">
        <f t="shared" si="1"/>
        <v>11067.030000000002</v>
      </c>
      <c r="G135" s="130" t="str">
        <f>Compta!H136</f>
        <v>Oui</v>
      </c>
    </row>
    <row r="136" spans="1:7" ht="15" customHeight="1" x14ac:dyDescent="0.25">
      <c r="A136" s="42">
        <f>Compta!B137</f>
        <v>45628</v>
      </c>
      <c r="B136" s="43">
        <f>Compta!C137</f>
        <v>756800</v>
      </c>
      <c r="C136" s="44" t="str">
        <f>Compta!D137</f>
        <v>Cotisations 24-25 payées par chèques</v>
      </c>
      <c r="D136" s="144">
        <f>Compta!E137</f>
        <v>599</v>
      </c>
      <c r="E136" s="144">
        <f>Compta!F137</f>
        <v>0</v>
      </c>
      <c r="F136" s="136">
        <f t="shared" ref="F136:F199" si="2">+F134+D136-E136</f>
        <v>8345.2700000000023</v>
      </c>
      <c r="G136" s="130" t="str">
        <f>Compta!H137</f>
        <v>Oui</v>
      </c>
    </row>
    <row r="137" spans="1:7" ht="15" customHeight="1" x14ac:dyDescent="0.25">
      <c r="A137" s="42">
        <f>Compta!B138</f>
        <v>45629</v>
      </c>
      <c r="B137" s="43">
        <f>Compta!C138</f>
        <v>756800</v>
      </c>
      <c r="C137" s="44" t="str">
        <f>Compta!D138</f>
        <v>Cotisations 24-25 payées en espèces (compléments chèque employeur)</v>
      </c>
      <c r="D137" s="144">
        <f>Compta!E138</f>
        <v>5</v>
      </c>
      <c r="E137" s="144">
        <f>Compta!F138</f>
        <v>0</v>
      </c>
      <c r="F137" s="136">
        <f t="shared" si="2"/>
        <v>11072.030000000002</v>
      </c>
      <c r="G137" s="130">
        <f>Compta!H138</f>
        <v>0</v>
      </c>
    </row>
    <row r="138" spans="1:7" ht="15" customHeight="1" x14ac:dyDescent="0.25">
      <c r="A138" s="42">
        <f>Compta!B139</f>
        <v>45631</v>
      </c>
      <c r="B138" s="43">
        <f>Compta!C139</f>
        <v>756800</v>
      </c>
      <c r="C138" s="44" t="str">
        <f>Compta!D139</f>
        <v>Cotisations reçues par CB 24-25</v>
      </c>
      <c r="D138" s="144">
        <f>Compta!E139</f>
        <v>135</v>
      </c>
      <c r="E138" s="144">
        <f>Compta!F139</f>
        <v>0</v>
      </c>
      <c r="F138" s="136">
        <f t="shared" si="2"/>
        <v>8480.2700000000023</v>
      </c>
      <c r="G138" s="130" t="str">
        <f>Compta!H139</f>
        <v>Oui</v>
      </c>
    </row>
    <row r="139" spans="1:7" ht="15" customHeight="1" x14ac:dyDescent="0.25">
      <c r="A139" s="42">
        <f>Compta!B140</f>
        <v>45631</v>
      </c>
      <c r="B139" s="43">
        <f>Compta!C140</f>
        <v>652100</v>
      </c>
      <c r="C139" s="44" t="str">
        <f>Compta!D140</f>
        <v>Virement - Licences FFEPGV 2024/2025</v>
      </c>
      <c r="D139" s="144">
        <f>Compta!E140</f>
        <v>0</v>
      </c>
      <c r="E139" s="144">
        <f>Compta!F140</f>
        <v>147.5</v>
      </c>
      <c r="F139" s="136">
        <f t="shared" si="2"/>
        <v>10924.530000000002</v>
      </c>
      <c r="G139" s="130" t="str">
        <f>Compta!H140</f>
        <v>Oui</v>
      </c>
    </row>
    <row r="140" spans="1:7" ht="15" customHeight="1" x14ac:dyDescent="0.25">
      <c r="A140" s="42">
        <f>Compta!B141</f>
        <v>45633</v>
      </c>
      <c r="B140" s="43">
        <f>Compta!C141</f>
        <v>605100</v>
      </c>
      <c r="C140" s="44" t="str">
        <f>Compta!D141</f>
        <v>Chèque 4769026 - Remboursement achat PC portable Lenovo</v>
      </c>
      <c r="D140" s="144">
        <f>Compta!E141</f>
        <v>0</v>
      </c>
      <c r="E140" s="144">
        <f>Compta!F141</f>
        <v>419.99</v>
      </c>
      <c r="F140" s="136">
        <f t="shared" si="2"/>
        <v>8060.2800000000025</v>
      </c>
      <c r="G140" s="130" t="str">
        <f>Compta!H141</f>
        <v>Oui</v>
      </c>
    </row>
    <row r="141" spans="1:7" ht="15" customHeight="1" x14ac:dyDescent="0.25">
      <c r="A141" s="42">
        <f>Compta!B142</f>
        <v>45639</v>
      </c>
      <c r="B141" s="43">
        <f>Compta!C142</f>
        <v>626200</v>
      </c>
      <c r="C141" s="44" t="str">
        <f>Compta!D142</f>
        <v>Frais Téléphone Sosh</v>
      </c>
      <c r="D141" s="144">
        <f>Compta!E142</f>
        <v>0</v>
      </c>
      <c r="E141" s="144">
        <f>Compta!F142</f>
        <v>-4.79</v>
      </c>
      <c r="F141" s="136">
        <f t="shared" si="2"/>
        <v>10929.320000000003</v>
      </c>
      <c r="G141" s="130" t="str">
        <f>Compta!H142</f>
        <v>Oui</v>
      </c>
    </row>
    <row r="142" spans="1:7" ht="15" customHeight="1" x14ac:dyDescent="0.25">
      <c r="A142" s="42">
        <f>Compta!B143</f>
        <v>45644</v>
      </c>
      <c r="B142" s="43" t="str">
        <f>Compta!C143</f>
        <v>-</v>
      </c>
      <c r="C142" s="44" t="str">
        <f>Compta!D143</f>
        <v>Virement livret vers banque (1 000 €)</v>
      </c>
      <c r="D142" s="144">
        <f>Compta!E143</f>
        <v>0</v>
      </c>
      <c r="E142" s="144">
        <f>Compta!F143</f>
        <v>0</v>
      </c>
      <c r="F142" s="136">
        <f t="shared" si="2"/>
        <v>8060.2800000000025</v>
      </c>
      <c r="G142" s="130" t="str">
        <f>Compta!H143</f>
        <v>Oui</v>
      </c>
    </row>
    <row r="143" spans="1:7" ht="15" customHeight="1" x14ac:dyDescent="0.25">
      <c r="A143" s="42">
        <f>Compta!B144</f>
        <v>45649</v>
      </c>
      <c r="B143" s="43">
        <f>Compta!C144</f>
        <v>622640</v>
      </c>
      <c r="C143" s="44" t="str">
        <f>Compta!D144</f>
        <v>Virement - Remplacement HIIT 04/11/18 déc 24 (3h) + Cours Pilates 04/11/18 déc 24 (3h)</v>
      </c>
      <c r="D143" s="144">
        <f>Compta!E144</f>
        <v>0</v>
      </c>
      <c r="E143" s="144">
        <f>Compta!F144</f>
        <v>240</v>
      </c>
      <c r="F143" s="136">
        <f t="shared" si="2"/>
        <v>10689.320000000003</v>
      </c>
      <c r="G143" s="130" t="str">
        <f>Compta!H144</f>
        <v>Oui</v>
      </c>
    </row>
    <row r="144" spans="1:7" ht="15" customHeight="1" x14ac:dyDescent="0.25">
      <c r="A144" s="42">
        <f>Compta!B145</f>
        <v>45649</v>
      </c>
      <c r="B144" s="43" t="str">
        <f>Compta!C145</f>
        <v>-</v>
      </c>
      <c r="C144" s="44" t="str">
        <f>Compta!D145</f>
        <v>Virement livret vers banque (500 €)</v>
      </c>
      <c r="D144" s="144">
        <f>Compta!E145</f>
        <v>0</v>
      </c>
      <c r="E144" s="144">
        <f>Compta!F145</f>
        <v>0</v>
      </c>
      <c r="F144" s="136">
        <f t="shared" si="2"/>
        <v>8060.2800000000025</v>
      </c>
      <c r="G144" s="130" t="str">
        <f>Compta!H145</f>
        <v>Oui</v>
      </c>
    </row>
    <row r="145" spans="1:7" ht="15" customHeight="1" x14ac:dyDescent="0.25">
      <c r="A145" s="42">
        <f>Compta!B146</f>
        <v>45653</v>
      </c>
      <c r="B145" s="43">
        <f>Compta!C146</f>
        <v>626200</v>
      </c>
      <c r="C145" s="44" t="str">
        <f>Compta!D146</f>
        <v>Frais Téléphone Sosh</v>
      </c>
      <c r="D145" s="144">
        <f>Compta!E146</f>
        <v>0</v>
      </c>
      <c r="E145" s="144">
        <f>Compta!F146</f>
        <v>9.99</v>
      </c>
      <c r="F145" s="136">
        <f t="shared" si="2"/>
        <v>10679.330000000004</v>
      </c>
      <c r="G145" s="130" t="str">
        <f>Compta!H146</f>
        <v>Oui</v>
      </c>
    </row>
    <row r="146" spans="1:7" ht="15" customHeight="1" x14ac:dyDescent="0.25">
      <c r="A146" s="42">
        <f>Compta!B147</f>
        <v>45654</v>
      </c>
      <c r="B146" s="43">
        <f>Compta!C147</f>
        <v>641200</v>
      </c>
      <c r="C146" s="44" t="str">
        <f>Compta!D147</f>
        <v>Virement salaires Décembre 2024 KOBLAN-HUBERSON</v>
      </c>
      <c r="D146" s="144">
        <f>Compta!E147</f>
        <v>0</v>
      </c>
      <c r="E146" s="144">
        <f>Compta!F147</f>
        <v>550.54</v>
      </c>
      <c r="F146" s="136">
        <f t="shared" si="2"/>
        <v>7509.7400000000025</v>
      </c>
      <c r="G146" s="130" t="str">
        <f>Compta!H147</f>
        <v>Oui</v>
      </c>
    </row>
    <row r="147" spans="1:7" ht="15" customHeight="1" x14ac:dyDescent="0.25">
      <c r="A147" s="42">
        <f>Compta!B148</f>
        <v>45654</v>
      </c>
      <c r="B147" s="43">
        <f>Compta!C148</f>
        <v>641200</v>
      </c>
      <c r="C147" s="44" t="str">
        <f>Compta!D148</f>
        <v>Virement salaires Décembre 2024 LE DUC</v>
      </c>
      <c r="D147" s="144">
        <f>Compta!E148</f>
        <v>0</v>
      </c>
      <c r="E147" s="144">
        <f>Compta!F148</f>
        <v>347.95</v>
      </c>
      <c r="F147" s="136">
        <f t="shared" si="2"/>
        <v>10331.380000000003</v>
      </c>
      <c r="G147" s="130" t="str">
        <f>Compta!H148</f>
        <v>Oui</v>
      </c>
    </row>
    <row r="148" spans="1:7" ht="15" customHeight="1" x14ac:dyDescent="0.25">
      <c r="A148" s="42">
        <f>Compta!B149</f>
        <v>45654</v>
      </c>
      <c r="B148" s="43">
        <f>Compta!C149</f>
        <v>641200</v>
      </c>
      <c r="C148" s="44" t="str">
        <f>Compta!D149</f>
        <v>Virement salaires Décembre 2024 MANSBENDEL</v>
      </c>
      <c r="D148" s="144">
        <f>Compta!E149</f>
        <v>0</v>
      </c>
      <c r="E148" s="144">
        <f>Compta!F149</f>
        <v>174.58</v>
      </c>
      <c r="F148" s="136">
        <f t="shared" si="2"/>
        <v>7335.1600000000026</v>
      </c>
      <c r="G148" s="130" t="str">
        <f>Compta!H149</f>
        <v>Oui</v>
      </c>
    </row>
    <row r="149" spans="1:7" ht="15" customHeight="1" x14ac:dyDescent="0.25">
      <c r="A149" s="42">
        <f>Compta!B150</f>
        <v>45654</v>
      </c>
      <c r="B149" s="43">
        <f>Compta!C150</f>
        <v>641200</v>
      </c>
      <c r="C149" s="44" t="str">
        <f>Compta!D150</f>
        <v>Virement salaires Décembre 2024 NGUYEN TUONG</v>
      </c>
      <c r="D149" s="144">
        <f>Compta!E150</f>
        <v>0</v>
      </c>
      <c r="E149" s="144">
        <f>Compta!F150</f>
        <v>504.06</v>
      </c>
      <c r="F149" s="136">
        <f t="shared" si="2"/>
        <v>9827.3200000000033</v>
      </c>
      <c r="G149" s="130" t="str">
        <f>Compta!H150</f>
        <v>Oui</v>
      </c>
    </row>
    <row r="150" spans="1:7" ht="15" customHeight="1" x14ac:dyDescent="0.25">
      <c r="A150" s="42">
        <f>Compta!B151</f>
        <v>45654</v>
      </c>
      <c r="B150" s="43">
        <f>Compta!C151</f>
        <v>641200</v>
      </c>
      <c r="C150" s="44" t="str">
        <f>Compta!D151</f>
        <v>Virement salaires Décembre 2024 PIQUET</v>
      </c>
      <c r="D150" s="144">
        <f>Compta!E151</f>
        <v>0</v>
      </c>
      <c r="E150" s="144">
        <f>Compta!F151</f>
        <v>189.28</v>
      </c>
      <c r="F150" s="136">
        <f t="shared" si="2"/>
        <v>7145.8800000000028</v>
      </c>
      <c r="G150" s="130" t="str">
        <f>Compta!H151</f>
        <v>Oui</v>
      </c>
    </row>
    <row r="151" spans="1:7" ht="15" customHeight="1" x14ac:dyDescent="0.25">
      <c r="A151" s="42">
        <f>Compta!B152</f>
        <v>45657</v>
      </c>
      <c r="B151" s="43">
        <f>Compta!C152</f>
        <v>622610</v>
      </c>
      <c r="C151" s="44" t="str">
        <f>Compta!D152</f>
        <v>Frais du cabinet comptable par salarié Décembre 2024</v>
      </c>
      <c r="D151" s="144">
        <f>Compta!E152</f>
        <v>0</v>
      </c>
      <c r="E151" s="144">
        <f>Compta!F152</f>
        <v>105</v>
      </c>
      <c r="F151" s="136">
        <f t="shared" si="2"/>
        <v>9722.3200000000033</v>
      </c>
      <c r="G151" s="130" t="str">
        <f>Compta!H152</f>
        <v>Oui</v>
      </c>
    </row>
    <row r="152" spans="1:7" ht="15" customHeight="1" x14ac:dyDescent="0.25">
      <c r="A152" s="42">
        <f>Compta!B153</f>
        <v>45657</v>
      </c>
      <c r="B152" s="43">
        <f>Compta!C153</f>
        <v>645700</v>
      </c>
      <c r="C152" s="44" t="str">
        <f>Compta!D153</f>
        <v>Prélèvement à la source Décembre 2024</v>
      </c>
      <c r="D152" s="144">
        <f>Compta!E153</f>
        <v>0</v>
      </c>
      <c r="E152" s="144">
        <f>Compta!F153</f>
        <v>48.61</v>
      </c>
      <c r="F152" s="136">
        <f t="shared" si="2"/>
        <v>7097.2700000000032</v>
      </c>
      <c r="G152" s="130" t="str">
        <f>Compta!H153</f>
        <v>Oui</v>
      </c>
    </row>
    <row r="153" spans="1:7" ht="15" customHeight="1" x14ac:dyDescent="0.25">
      <c r="A153" s="42">
        <f>Compta!B154</f>
        <v>45657</v>
      </c>
      <c r="B153" s="43">
        <f>Compta!C154</f>
        <v>645800</v>
      </c>
      <c r="C153" s="44" t="str">
        <f>Compta!D154</f>
        <v>Charges sociales Décembre 2024</v>
      </c>
      <c r="D153" s="144">
        <f>Compta!E154</f>
        <v>0</v>
      </c>
      <c r="E153" s="144">
        <f>Compta!F154</f>
        <v>672.23</v>
      </c>
      <c r="F153" s="136">
        <f t="shared" si="2"/>
        <v>9050.0900000000038</v>
      </c>
      <c r="G153" s="130" t="str">
        <f>Compta!H154</f>
        <v>Oui</v>
      </c>
    </row>
    <row r="154" spans="1:7" ht="15" customHeight="1" x14ac:dyDescent="0.25">
      <c r="A154" s="42">
        <f>Compta!B155</f>
        <v>46022</v>
      </c>
      <c r="B154" s="43">
        <f>Compta!C155</f>
        <v>768000</v>
      </c>
      <c r="C154" s="44" t="str">
        <f>Compta!D155</f>
        <v>Intérêts livret Triplex 2024</v>
      </c>
      <c r="D154" s="144">
        <f>Compta!E155</f>
        <v>552.04999999999995</v>
      </c>
      <c r="E154" s="144">
        <f>Compta!F155</f>
        <v>0</v>
      </c>
      <c r="F154" s="136">
        <f t="shared" si="2"/>
        <v>7649.3200000000033</v>
      </c>
      <c r="G154" s="130" t="str">
        <f>Compta!H155</f>
        <v>Oui</v>
      </c>
    </row>
    <row r="155" spans="1:7" ht="15" customHeight="1" x14ac:dyDescent="0.25">
      <c r="A155" s="42">
        <f>Compta!B156</f>
        <v>45660</v>
      </c>
      <c r="B155" s="43">
        <f>Compta!C156</f>
        <v>756800</v>
      </c>
      <c r="C155" s="44" t="str">
        <f>Compta!D156</f>
        <v>Cotisations 24-25 payées par chèques</v>
      </c>
      <c r="D155" s="144">
        <f>Compta!E156</f>
        <v>670</v>
      </c>
      <c r="E155" s="144">
        <f>Compta!F156</f>
        <v>0</v>
      </c>
      <c r="F155" s="136">
        <f t="shared" si="2"/>
        <v>9720.0900000000038</v>
      </c>
      <c r="G155" s="130" t="str">
        <f>Compta!H156</f>
        <v>Oui</v>
      </c>
    </row>
    <row r="156" spans="1:7" ht="15" customHeight="1" x14ac:dyDescent="0.25">
      <c r="A156" s="42">
        <f>Compta!B157</f>
        <v>45671</v>
      </c>
      <c r="B156" s="43">
        <f>Compta!C157</f>
        <v>652100</v>
      </c>
      <c r="C156" s="44" t="str">
        <f>Compta!D157</f>
        <v>Virement - Licences FFEPGV 2024/2025</v>
      </c>
      <c r="D156" s="144">
        <f>Compta!E157</f>
        <v>0</v>
      </c>
      <c r="E156" s="144">
        <f>Compta!F157</f>
        <v>29.5</v>
      </c>
      <c r="F156" s="136">
        <f t="shared" si="2"/>
        <v>7619.8200000000033</v>
      </c>
      <c r="G156" s="130" t="str">
        <f>Compta!H157</f>
        <v>Oui</v>
      </c>
    </row>
    <row r="157" spans="1:7" ht="15" customHeight="1" x14ac:dyDescent="0.25">
      <c r="A157" s="42">
        <f>Compta!B158</f>
        <v>45671</v>
      </c>
      <c r="B157" s="43">
        <f>Compta!C158</f>
        <v>756800</v>
      </c>
      <c r="C157" s="44" t="str">
        <f>Compta!D158</f>
        <v>Cotisations reçues par CB 24-25 (régularisation Mme Cassiere)</v>
      </c>
      <c r="D157" s="144">
        <f>Compta!E158</f>
        <v>67.5</v>
      </c>
      <c r="E157" s="144">
        <f>Compta!F158</f>
        <v>0</v>
      </c>
      <c r="F157" s="136">
        <f t="shared" si="2"/>
        <v>9787.5900000000038</v>
      </c>
      <c r="G157" s="130" t="str">
        <f>Compta!H158</f>
        <v>Oui</v>
      </c>
    </row>
    <row r="158" spans="1:7" ht="15" customHeight="1" x14ac:dyDescent="0.25">
      <c r="A158" s="42">
        <f>Compta!B159</f>
        <v>45672</v>
      </c>
      <c r="B158" s="43">
        <f>Compta!C159</f>
        <v>756800</v>
      </c>
      <c r="C158" s="44" t="str">
        <f>Compta!D159</f>
        <v>Cotisations reçues par CB 24-25 (régularisation Mme Halama)</v>
      </c>
      <c r="D158" s="144">
        <f>Compta!E159</f>
        <v>67.5</v>
      </c>
      <c r="E158" s="144">
        <f>Compta!F159</f>
        <v>0</v>
      </c>
      <c r="F158" s="136">
        <f t="shared" si="2"/>
        <v>7687.3200000000033</v>
      </c>
      <c r="G158" s="130" t="str">
        <f>Compta!H159</f>
        <v>Oui</v>
      </c>
    </row>
    <row r="159" spans="1:7" ht="15" customHeight="1" x14ac:dyDescent="0.25">
      <c r="A159" s="42">
        <f>Compta!B160</f>
        <v>45675</v>
      </c>
      <c r="B159" s="43" t="str">
        <f>Compta!C160</f>
        <v>-</v>
      </c>
      <c r="C159" s="44" t="str">
        <f>Compta!D160</f>
        <v>Virement livret vers banque (2 000 €)</v>
      </c>
      <c r="D159" s="144">
        <f>Compta!E160</f>
        <v>0</v>
      </c>
      <c r="E159" s="144">
        <f>Compta!F160</f>
        <v>0</v>
      </c>
      <c r="F159" s="136">
        <f t="shared" si="2"/>
        <v>9787.5900000000038</v>
      </c>
      <c r="G159" s="130" t="str">
        <f>Compta!H160</f>
        <v>Oui</v>
      </c>
    </row>
    <row r="160" spans="1:7" ht="15" customHeight="1" x14ac:dyDescent="0.25">
      <c r="A160" s="42">
        <f>Compta!B161</f>
        <v>45684</v>
      </c>
      <c r="B160" s="43">
        <f>Compta!C161</f>
        <v>626200</v>
      </c>
      <c r="C160" s="44" t="str">
        <f>Compta!D161</f>
        <v>Frais Téléphone Sosh</v>
      </c>
      <c r="D160" s="144">
        <f>Compta!E161</f>
        <v>0</v>
      </c>
      <c r="E160" s="144">
        <f>Compta!F161</f>
        <v>9.99</v>
      </c>
      <c r="F160" s="136">
        <f t="shared" si="2"/>
        <v>7677.3300000000036</v>
      </c>
      <c r="G160" s="130" t="str">
        <f>Compta!H161</f>
        <v>Oui</v>
      </c>
    </row>
    <row r="161" spans="1:7" ht="15" customHeight="1" x14ac:dyDescent="0.25">
      <c r="A161" s="42">
        <f>Compta!B162</f>
        <v>45688</v>
      </c>
      <c r="B161" s="43">
        <f>Compta!C162</f>
        <v>641200</v>
      </c>
      <c r="C161" s="44" t="str">
        <f>Compta!D162</f>
        <v>Virement salaires Janvier 2025 KOBLAN-HUBERSON</v>
      </c>
      <c r="D161" s="144">
        <f>Compta!E162</f>
        <v>0</v>
      </c>
      <c r="E161" s="144">
        <f>Compta!F162</f>
        <v>484.32</v>
      </c>
      <c r="F161" s="136">
        <f t="shared" si="2"/>
        <v>9303.2700000000041</v>
      </c>
      <c r="G161" s="130" t="str">
        <f>Compta!H162</f>
        <v>Oui</v>
      </c>
    </row>
    <row r="162" spans="1:7" ht="15" customHeight="1" x14ac:dyDescent="0.25">
      <c r="A162" s="42">
        <f>Compta!B163</f>
        <v>45688</v>
      </c>
      <c r="B162" s="43">
        <f>Compta!C163</f>
        <v>641200</v>
      </c>
      <c r="C162" s="44" t="str">
        <f>Compta!D163</f>
        <v>Virement salaires Janvier 2025 LE DUC</v>
      </c>
      <c r="D162" s="144">
        <f>Compta!E163</f>
        <v>0</v>
      </c>
      <c r="E162" s="144">
        <f>Compta!F163</f>
        <v>288.68</v>
      </c>
      <c r="F162" s="136">
        <f t="shared" si="2"/>
        <v>7388.6500000000033</v>
      </c>
      <c r="G162" s="130" t="str">
        <f>Compta!H163</f>
        <v>Oui</v>
      </c>
    </row>
    <row r="163" spans="1:7" ht="15" customHeight="1" x14ac:dyDescent="0.25">
      <c r="A163" s="42">
        <f>Compta!B164</f>
        <v>45688</v>
      </c>
      <c r="B163" s="43">
        <f>Compta!C164</f>
        <v>641200</v>
      </c>
      <c r="C163" s="44" t="str">
        <f>Compta!D164</f>
        <v>Virement salaires Janvier 2025 MANSBENDEL</v>
      </c>
      <c r="D163" s="144">
        <f>Compta!E164</f>
        <v>0</v>
      </c>
      <c r="E163" s="144">
        <f>Compta!F164</f>
        <v>174.36</v>
      </c>
      <c r="F163" s="136">
        <f t="shared" si="2"/>
        <v>9128.9100000000035</v>
      </c>
      <c r="G163" s="130" t="str">
        <f>Compta!H164</f>
        <v>Oui</v>
      </c>
    </row>
    <row r="164" spans="1:7" ht="15" customHeight="1" x14ac:dyDescent="0.25">
      <c r="A164" s="42">
        <f>Compta!B165</f>
        <v>45688</v>
      </c>
      <c r="B164" s="43">
        <f>Compta!C165</f>
        <v>641200</v>
      </c>
      <c r="C164" s="44" t="str">
        <f>Compta!D165</f>
        <v>Virement salaires Janvier 2025 NGUYEN TUONG</v>
      </c>
      <c r="D164" s="144">
        <f>Compta!E165</f>
        <v>0</v>
      </c>
      <c r="E164" s="144">
        <f>Compta!F165</f>
        <v>503.39</v>
      </c>
      <c r="F164" s="136">
        <f t="shared" si="2"/>
        <v>6885.2600000000029</v>
      </c>
      <c r="G164" s="130" t="str">
        <f>Compta!H165</f>
        <v>Oui</v>
      </c>
    </row>
    <row r="165" spans="1:7" ht="15" customHeight="1" x14ac:dyDescent="0.25">
      <c r="A165" s="42">
        <f>Compta!B166</f>
        <v>45688</v>
      </c>
      <c r="B165" s="43">
        <f>Compta!C166</f>
        <v>641200</v>
      </c>
      <c r="C165" s="44" t="str">
        <f>Compta!D166</f>
        <v>Virement salaires Janvier 2025 PIQUET</v>
      </c>
      <c r="D165" s="144">
        <f>Compta!E166</f>
        <v>0</v>
      </c>
      <c r="E165" s="144">
        <f>Compta!F166</f>
        <v>315.82</v>
      </c>
      <c r="F165" s="136">
        <f t="shared" si="2"/>
        <v>8813.0900000000038</v>
      </c>
      <c r="G165" s="130" t="str">
        <f>Compta!H166</f>
        <v>Oui</v>
      </c>
    </row>
    <row r="166" spans="1:7" ht="15" customHeight="1" x14ac:dyDescent="0.25">
      <c r="A166" s="42">
        <f>Compta!B167</f>
        <v>45688</v>
      </c>
      <c r="B166" s="43">
        <f>Compta!C167</f>
        <v>652100</v>
      </c>
      <c r="C166" s="44" t="str">
        <f>Compta!D167</f>
        <v>Virement - Licences FFEPGV 2024/2025</v>
      </c>
      <c r="D166" s="144">
        <f>Compta!E167</f>
        <v>0</v>
      </c>
      <c r="E166" s="144">
        <f>Compta!F167</f>
        <v>88.5</v>
      </c>
      <c r="F166" s="136">
        <f t="shared" si="2"/>
        <v>6796.7600000000029</v>
      </c>
      <c r="G166" s="130" t="str">
        <f>Compta!H167</f>
        <v>Oui</v>
      </c>
    </row>
    <row r="167" spans="1:7" ht="15" customHeight="1" x14ac:dyDescent="0.25">
      <c r="A167" s="42">
        <f>Compta!B168</f>
        <v>45688</v>
      </c>
      <c r="B167" s="43">
        <f>Compta!C168</f>
        <v>645800</v>
      </c>
      <c r="C167" s="44" t="str">
        <f>Compta!D168</f>
        <v>Charges sociales Janvier 2025</v>
      </c>
      <c r="D167" s="144">
        <f>Compta!E168</f>
        <v>0</v>
      </c>
      <c r="E167" s="144">
        <f>Compta!F168</f>
        <v>699.1</v>
      </c>
      <c r="F167" s="136">
        <f t="shared" si="2"/>
        <v>8113.9900000000034</v>
      </c>
      <c r="G167" s="130" t="str">
        <f>Compta!H168</f>
        <v>Oui</v>
      </c>
    </row>
    <row r="168" spans="1:7" ht="15" customHeight="1" x14ac:dyDescent="0.25">
      <c r="A168" s="42">
        <f>Compta!B169</f>
        <v>45688</v>
      </c>
      <c r="B168" s="43">
        <f>Compta!C169</f>
        <v>645700</v>
      </c>
      <c r="C168" s="44" t="str">
        <f>Compta!D169</f>
        <v>Prélèvement à la source Janvier 2025</v>
      </c>
      <c r="D168" s="144">
        <f>Compta!E169</f>
        <v>0</v>
      </c>
      <c r="E168" s="144">
        <f>Compta!F169</f>
        <v>60.79</v>
      </c>
      <c r="F168" s="136">
        <f t="shared" si="2"/>
        <v>6735.970000000003</v>
      </c>
      <c r="G168" s="130" t="str">
        <f>Compta!H169</f>
        <v>Oui</v>
      </c>
    </row>
    <row r="169" spans="1:7" ht="15" customHeight="1" x14ac:dyDescent="0.25">
      <c r="A169" s="42">
        <f>Compta!B170</f>
        <v>45688</v>
      </c>
      <c r="B169" s="43">
        <f>Compta!C170</f>
        <v>622610</v>
      </c>
      <c r="C169" s="44" t="str">
        <f>Compta!D170</f>
        <v>Frais du cabinet comptable par salarié Janvier 2025</v>
      </c>
      <c r="D169" s="144">
        <f>Compta!E170</f>
        <v>0</v>
      </c>
      <c r="E169" s="144">
        <f>Compta!F170</f>
        <v>105</v>
      </c>
      <c r="F169" s="136">
        <f t="shared" si="2"/>
        <v>8008.9900000000034</v>
      </c>
      <c r="G169" s="130" t="str">
        <f>Compta!H170</f>
        <v>Oui</v>
      </c>
    </row>
    <row r="170" spans="1:7" ht="15" customHeight="1" x14ac:dyDescent="0.25">
      <c r="A170" s="42">
        <f>Compta!B171</f>
        <v>45688</v>
      </c>
      <c r="B170" s="43">
        <f>Compta!C171</f>
        <v>622640</v>
      </c>
      <c r="C170" s="44" t="str">
        <f>Compta!D171</f>
        <v>Virement - Remplacement HIIT 08/15/22/29 janv 25 (4h) + Cours Pilates 08/15/22/29 janv 25 (4h)</v>
      </c>
      <c r="D170" s="144">
        <f>Compta!E171</f>
        <v>0</v>
      </c>
      <c r="E170" s="144">
        <f>Compta!F171</f>
        <v>320</v>
      </c>
      <c r="F170" s="136">
        <f t="shared" si="2"/>
        <v>6415.970000000003</v>
      </c>
      <c r="G170" s="130" t="str">
        <f>Compta!H171</f>
        <v>Oui</v>
      </c>
    </row>
    <row r="171" spans="1:7" ht="15" customHeight="1" x14ac:dyDescent="0.25">
      <c r="A171" s="42">
        <f>Compta!B172</f>
        <v>45692</v>
      </c>
      <c r="B171" s="43">
        <f>Compta!C172</f>
        <v>756800</v>
      </c>
      <c r="C171" s="44" t="str">
        <f>Compta!D172</f>
        <v>Cotisations 24-25 payées par chèques</v>
      </c>
      <c r="D171" s="144">
        <f>Compta!E172</f>
        <v>470</v>
      </c>
      <c r="E171" s="144">
        <f>Compta!F172</f>
        <v>0</v>
      </c>
      <c r="F171" s="136">
        <f t="shared" si="2"/>
        <v>8478.9900000000034</v>
      </c>
      <c r="G171" s="130" t="str">
        <f>Compta!H172</f>
        <v>Oui</v>
      </c>
    </row>
    <row r="172" spans="1:7" ht="15" customHeight="1" x14ac:dyDescent="0.25">
      <c r="A172" s="42">
        <f>Compta!B173</f>
        <v>45695</v>
      </c>
      <c r="B172" s="43">
        <f>Compta!C173</f>
        <v>758200</v>
      </c>
      <c r="C172" s="44" t="str">
        <f>Compta!D173</f>
        <v>Remboursement par CD Partenariat Mon Opticien</v>
      </c>
      <c r="D172" s="144">
        <f>Compta!E173</f>
        <v>55</v>
      </c>
      <c r="E172" s="144">
        <f>Compta!F173</f>
        <v>0</v>
      </c>
      <c r="F172" s="136">
        <f t="shared" si="2"/>
        <v>6470.970000000003</v>
      </c>
      <c r="G172" s="130" t="str">
        <f>Compta!H173</f>
        <v>Oui</v>
      </c>
    </row>
    <row r="173" spans="1:7" ht="15" customHeight="1" x14ac:dyDescent="0.25">
      <c r="A173" s="42">
        <f>Compta!B174</f>
        <v>45696</v>
      </c>
      <c r="B173" s="43">
        <f>Compta!C174</f>
        <v>605100</v>
      </c>
      <c r="C173" s="44" t="str">
        <f>Compta!D174</f>
        <v>Remboursement achat 5 steps chez Intersport le 07/02/25</v>
      </c>
      <c r="D173" s="144">
        <f>Compta!E174</f>
        <v>0</v>
      </c>
      <c r="E173" s="144">
        <f>Compta!F174</f>
        <v>174.95</v>
      </c>
      <c r="F173" s="136">
        <f t="shared" si="2"/>
        <v>8304.0400000000027</v>
      </c>
      <c r="G173" s="130" t="str">
        <f>Compta!H174</f>
        <v>Oui</v>
      </c>
    </row>
    <row r="174" spans="1:7" ht="15" customHeight="1" x14ac:dyDescent="0.25">
      <c r="A174" s="42">
        <f>Compta!B175</f>
        <v>45706</v>
      </c>
      <c r="B174" s="43" t="str">
        <f>Compta!C175</f>
        <v>-</v>
      </c>
      <c r="C174" s="44" t="str">
        <f>Compta!D175</f>
        <v>Virement livret vers banque (3 000 €)</v>
      </c>
      <c r="D174" s="144">
        <f>Compta!E175</f>
        <v>0</v>
      </c>
      <c r="E174" s="144">
        <f>Compta!F175</f>
        <v>0</v>
      </c>
      <c r="F174" s="136">
        <f t="shared" si="2"/>
        <v>6470.970000000003</v>
      </c>
      <c r="G174" s="130" t="str">
        <f>Compta!H175</f>
        <v>Oui</v>
      </c>
    </row>
    <row r="175" spans="1:7" ht="15" customHeight="1" x14ac:dyDescent="0.25">
      <c r="A175" s="42">
        <f>Compta!B176</f>
        <v>45713</v>
      </c>
      <c r="B175" s="43">
        <f>Compta!C176</f>
        <v>626200</v>
      </c>
      <c r="C175" s="44" t="str">
        <f>Compta!D176</f>
        <v>Frais Téléphone Sosh</v>
      </c>
      <c r="D175" s="144">
        <f>Compta!E176</f>
        <v>0</v>
      </c>
      <c r="E175" s="144">
        <f>Compta!F176</f>
        <v>9.99</v>
      </c>
      <c r="F175" s="136">
        <f t="shared" si="2"/>
        <v>8294.0500000000029</v>
      </c>
      <c r="G175" s="130" t="str">
        <f>Compta!H176</f>
        <v>Oui</v>
      </c>
    </row>
    <row r="176" spans="1:7" ht="15" customHeight="1" x14ac:dyDescent="0.25">
      <c r="A176" s="42">
        <f>Compta!B177</f>
        <v>45715</v>
      </c>
      <c r="B176" s="43">
        <f>Compta!C177</f>
        <v>622640</v>
      </c>
      <c r="C176" s="44" t="str">
        <f>Compta!D177</f>
        <v xml:space="preserve">Virement - HIIT et Pilates 05/12/19/26 fév 25 (8h) + Rempl senior et cardio 03/17/24 fév 25 (6h) </v>
      </c>
      <c r="D176" s="144">
        <f>Compta!E177</f>
        <v>0</v>
      </c>
      <c r="E176" s="144">
        <f>Compta!F177</f>
        <v>560</v>
      </c>
      <c r="F176" s="136">
        <f t="shared" si="2"/>
        <v>5910.970000000003</v>
      </c>
      <c r="G176" s="130" t="str">
        <f>Compta!H177</f>
        <v>Oui</v>
      </c>
    </row>
    <row r="177" spans="1:7" ht="15" customHeight="1" x14ac:dyDescent="0.25">
      <c r="A177" s="42">
        <f>Compta!B178</f>
        <v>45715</v>
      </c>
      <c r="B177" s="43">
        <f>Compta!C178</f>
        <v>605100</v>
      </c>
      <c r="C177" s="44" t="str">
        <f>Compta!D178</f>
        <v>Remboursement achat 5 steps chez Intersport le 14/02/25</v>
      </c>
      <c r="D177" s="144">
        <f>Compta!E178</f>
        <v>0</v>
      </c>
      <c r="E177" s="144">
        <f>Compta!F178</f>
        <v>159.94999999999999</v>
      </c>
      <c r="F177" s="136">
        <f t="shared" si="2"/>
        <v>8134.1000000000031</v>
      </c>
      <c r="G177" s="130" t="str">
        <f>Compta!H178</f>
        <v>Oui</v>
      </c>
    </row>
    <row r="178" spans="1:7" ht="15" customHeight="1" x14ac:dyDescent="0.25">
      <c r="A178" s="42">
        <f>Compta!B179</f>
        <v>45716</v>
      </c>
      <c r="B178" s="43">
        <f>Compta!C179</f>
        <v>641200</v>
      </c>
      <c r="C178" s="44" t="str">
        <f>Compta!D179</f>
        <v>Virement salaires Février 2025 KOBLAN-HUBERSON</v>
      </c>
      <c r="D178" s="144">
        <f>Compta!E179</f>
        <v>0</v>
      </c>
      <c r="E178" s="144">
        <f>Compta!F179</f>
        <v>445.16</v>
      </c>
      <c r="F178" s="136">
        <f t="shared" si="2"/>
        <v>5465.8100000000031</v>
      </c>
      <c r="G178" s="130" t="str">
        <f>Compta!H179</f>
        <v>Oui</v>
      </c>
    </row>
    <row r="179" spans="1:7" ht="15" customHeight="1" x14ac:dyDescent="0.25">
      <c r="A179" s="42">
        <f>Compta!B180</f>
        <v>45716</v>
      </c>
      <c r="B179" s="43">
        <f>Compta!C180</f>
        <v>641200</v>
      </c>
      <c r="C179" s="44" t="str">
        <f>Compta!D180</f>
        <v>Virement salaires Février 2025 LE DUC</v>
      </c>
      <c r="D179" s="144">
        <f>Compta!E180</f>
        <v>0</v>
      </c>
      <c r="E179" s="144">
        <f>Compta!F180</f>
        <v>198</v>
      </c>
      <c r="F179" s="136">
        <f t="shared" si="2"/>
        <v>7936.1000000000031</v>
      </c>
      <c r="G179" s="130" t="str">
        <f>Compta!H180</f>
        <v>Oui</v>
      </c>
    </row>
    <row r="180" spans="1:7" ht="15" customHeight="1" x14ac:dyDescent="0.25">
      <c r="A180" s="42">
        <f>Compta!B181</f>
        <v>45716</v>
      </c>
      <c r="B180" s="43">
        <f>Compta!C181</f>
        <v>641200</v>
      </c>
      <c r="C180" s="44" t="str">
        <f>Compta!D181</f>
        <v>Virement salaires Février 2025 MANSBENDEL</v>
      </c>
      <c r="D180" s="144">
        <f>Compta!E181</f>
        <v>0</v>
      </c>
      <c r="E180" s="144">
        <f>Compta!F181</f>
        <v>123.23</v>
      </c>
      <c r="F180" s="136">
        <f t="shared" si="2"/>
        <v>5342.5800000000036</v>
      </c>
      <c r="G180" s="130" t="str">
        <f>Compta!H181</f>
        <v>Oui</v>
      </c>
    </row>
    <row r="181" spans="1:7" ht="15" customHeight="1" x14ac:dyDescent="0.25">
      <c r="A181" s="42">
        <f>Compta!B182</f>
        <v>45716</v>
      </c>
      <c r="B181" s="43">
        <f>Compta!C182</f>
        <v>641200</v>
      </c>
      <c r="C181" s="44" t="str">
        <f>Compta!D182</f>
        <v>Virement salaires Février 2025 NGUYEN TUONG</v>
      </c>
      <c r="D181" s="144">
        <f>Compta!E182</f>
        <v>0</v>
      </c>
      <c r="E181" s="144">
        <f>Compta!F182</f>
        <v>375.23</v>
      </c>
      <c r="F181" s="136">
        <f t="shared" si="2"/>
        <v>7560.8700000000026</v>
      </c>
      <c r="G181" s="130" t="str">
        <f>Compta!H182</f>
        <v>Oui</v>
      </c>
    </row>
    <row r="182" spans="1:7" ht="15" customHeight="1" x14ac:dyDescent="0.25">
      <c r="A182" s="42">
        <f>Compta!B183</f>
        <v>45716</v>
      </c>
      <c r="B182" s="43">
        <f>Compta!C183</f>
        <v>641200</v>
      </c>
      <c r="C182" s="44" t="str">
        <f>Compta!D183</f>
        <v>Virement salaires Février 2025 PIQUET</v>
      </c>
      <c r="D182" s="144">
        <f>Compta!E183</f>
        <v>0</v>
      </c>
      <c r="E182" s="144">
        <f>Compta!F183</f>
        <v>272.33</v>
      </c>
      <c r="F182" s="136">
        <f t="shared" si="2"/>
        <v>5070.2500000000036</v>
      </c>
      <c r="G182" s="130" t="str">
        <f>Compta!H183</f>
        <v>Oui</v>
      </c>
    </row>
    <row r="183" spans="1:7" ht="15" customHeight="1" x14ac:dyDescent="0.25">
      <c r="A183" s="42">
        <f>Compta!B184</f>
        <v>45716</v>
      </c>
      <c r="B183" s="43">
        <f>Compta!C184</f>
        <v>645800</v>
      </c>
      <c r="C183" s="44" t="str">
        <f>Compta!D184</f>
        <v>Charges sociales Février 2025</v>
      </c>
      <c r="D183" s="144">
        <f>Compta!E184</f>
        <v>0</v>
      </c>
      <c r="E183" s="144">
        <f>Compta!F184</f>
        <v>470.01</v>
      </c>
      <c r="F183" s="136">
        <f t="shared" si="2"/>
        <v>7090.8600000000024</v>
      </c>
      <c r="G183" s="130" t="str">
        <f>Compta!H184</f>
        <v>Oui</v>
      </c>
    </row>
    <row r="184" spans="1:7" ht="15" customHeight="1" x14ac:dyDescent="0.25">
      <c r="A184" s="42">
        <f>Compta!B185</f>
        <v>45716</v>
      </c>
      <c r="B184" s="43">
        <f>Compta!C185</f>
        <v>645600</v>
      </c>
      <c r="C184" s="44" t="str">
        <f>Compta!D185</f>
        <v>AFDAS Formation professionnelle</v>
      </c>
      <c r="D184" s="144">
        <f>Compta!E185</f>
        <v>0</v>
      </c>
      <c r="E184" s="144">
        <f>Compta!F185</f>
        <v>94.78</v>
      </c>
      <c r="F184" s="136">
        <f t="shared" si="2"/>
        <v>4975.4700000000039</v>
      </c>
      <c r="G184" s="130" t="str">
        <f>Compta!H185</f>
        <v>Oui</v>
      </c>
    </row>
    <row r="185" spans="1:7" ht="15" customHeight="1" x14ac:dyDescent="0.25">
      <c r="A185" s="42">
        <f>Compta!B186</f>
        <v>45716</v>
      </c>
      <c r="B185" s="43">
        <f>Compta!C186</f>
        <v>645700</v>
      </c>
      <c r="C185" s="44" t="str">
        <f>Compta!D186</f>
        <v>Prélèvement à la source Février 2025</v>
      </c>
      <c r="D185" s="144">
        <f>Compta!E186</f>
        <v>0</v>
      </c>
      <c r="E185" s="144">
        <f>Compta!F186</f>
        <v>48.27</v>
      </c>
      <c r="F185" s="136">
        <f t="shared" si="2"/>
        <v>7042.590000000002</v>
      </c>
      <c r="G185" s="130" t="str">
        <f>Compta!H186</f>
        <v>Oui</v>
      </c>
    </row>
    <row r="186" spans="1:7" ht="15" customHeight="1" x14ac:dyDescent="0.25">
      <c r="A186" s="42">
        <f>Compta!B187</f>
        <v>45716</v>
      </c>
      <c r="B186" s="43">
        <f>Compta!C187</f>
        <v>622610</v>
      </c>
      <c r="C186" s="44" t="str">
        <f>Compta!D187</f>
        <v>Frais du cabinet comptable par salarié Février 2025</v>
      </c>
      <c r="D186" s="144">
        <f>Compta!E187</f>
        <v>0</v>
      </c>
      <c r="E186" s="144">
        <f>Compta!F187</f>
        <v>105</v>
      </c>
      <c r="F186" s="136">
        <f t="shared" si="2"/>
        <v>4870.4700000000039</v>
      </c>
      <c r="G186" s="130" t="str">
        <f>Compta!H187</f>
        <v>Oui</v>
      </c>
    </row>
    <row r="187" spans="1:7" ht="15" customHeight="1" x14ac:dyDescent="0.25">
      <c r="A187" s="42">
        <f>Compta!B188</f>
        <v>45720</v>
      </c>
      <c r="B187" s="43">
        <f>Compta!C188</f>
        <v>756800</v>
      </c>
      <c r="C187" s="44" t="str">
        <f>Compta!D188</f>
        <v>Cotisations 24-25 payées par chèques</v>
      </c>
      <c r="D187" s="144">
        <f>Compta!E188</f>
        <v>70</v>
      </c>
      <c r="E187" s="144">
        <f>Compta!F188</f>
        <v>0</v>
      </c>
      <c r="F187" s="136">
        <f t="shared" si="2"/>
        <v>7112.590000000002</v>
      </c>
      <c r="G187" s="130" t="str">
        <f>Compta!H188</f>
        <v>Oui</v>
      </c>
    </row>
    <row r="188" spans="1:7" ht="15" customHeight="1" x14ac:dyDescent="0.25">
      <c r="A188" s="42">
        <f>Compta!B189</f>
        <v>45721</v>
      </c>
      <c r="B188" s="43">
        <f>Compta!C189</f>
        <v>756800</v>
      </c>
      <c r="C188" s="44" t="str">
        <f>Compta!D189</f>
        <v>Cotisations reçues par CB 24-25 (régularisation Mme Depoers)</v>
      </c>
      <c r="D188" s="144">
        <f>Compta!E189</f>
        <v>67.5</v>
      </c>
      <c r="E188" s="144">
        <f>Compta!F189</f>
        <v>0</v>
      </c>
      <c r="F188" s="136">
        <f t="shared" si="2"/>
        <v>4937.9700000000039</v>
      </c>
      <c r="G188" s="130" t="str">
        <f>Compta!H189</f>
        <v>Oui</v>
      </c>
    </row>
    <row r="189" spans="1:7" ht="15" customHeight="1" x14ac:dyDescent="0.25">
      <c r="A189" s="42">
        <f>Compta!B190</f>
        <v>45726</v>
      </c>
      <c r="B189" s="43">
        <f>Compta!C190</f>
        <v>606800</v>
      </c>
      <c r="C189" s="44" t="str">
        <f>Compta!D190</f>
        <v>Reproduction 1 clé pour gymnase Courtand Balizy</v>
      </c>
      <c r="D189" s="144">
        <f>Compta!E190</f>
        <v>0</v>
      </c>
      <c r="E189" s="144">
        <f>Compta!F190</f>
        <v>7.9</v>
      </c>
      <c r="F189" s="136">
        <f t="shared" si="2"/>
        <v>7104.6900000000023</v>
      </c>
      <c r="G189" s="130">
        <f>Compta!H190</f>
        <v>0</v>
      </c>
    </row>
    <row r="190" spans="1:7" ht="15" customHeight="1" x14ac:dyDescent="0.25">
      <c r="A190" s="42">
        <f>Compta!B191</f>
        <v>45734</v>
      </c>
      <c r="B190" s="43" t="str">
        <f>Compta!C191</f>
        <v>-</v>
      </c>
      <c r="C190" s="44" t="str">
        <f>Compta!D191</f>
        <v>Virement livret vers banque (2 500 €)</v>
      </c>
      <c r="D190" s="144">
        <f>Compta!E191</f>
        <v>0</v>
      </c>
      <c r="E190" s="144">
        <f>Compta!F191</f>
        <v>0</v>
      </c>
      <c r="F190" s="136">
        <f t="shared" si="2"/>
        <v>4937.9700000000039</v>
      </c>
      <c r="G190" s="130" t="str">
        <f>Compta!H191</f>
        <v>Oui</v>
      </c>
    </row>
    <row r="191" spans="1:7" ht="15" customHeight="1" x14ac:dyDescent="0.25">
      <c r="A191" s="42">
        <f>Compta!B192</f>
        <v>45737</v>
      </c>
      <c r="B191" s="43">
        <f>Compta!C192</f>
        <v>626200</v>
      </c>
      <c r="C191" s="44" t="str">
        <f>Compta!D192</f>
        <v>Frais Téléphone Sosh</v>
      </c>
      <c r="D191" s="144">
        <f>Compta!E192</f>
        <v>0</v>
      </c>
      <c r="E191" s="144">
        <f>Compta!F192</f>
        <v>9.99</v>
      </c>
      <c r="F191" s="136">
        <f t="shared" si="2"/>
        <v>7094.7000000000025</v>
      </c>
      <c r="G191" s="130" t="str">
        <f>Compta!H192</f>
        <v>Oui</v>
      </c>
    </row>
    <row r="192" spans="1:7" ht="15" customHeight="1" x14ac:dyDescent="0.25">
      <c r="A192" s="42">
        <f>Compta!B193</f>
        <v>45737</v>
      </c>
      <c r="B192" s="43">
        <f>Compta!C193</f>
        <v>622640</v>
      </c>
      <c r="C192" s="44" t="str">
        <f>Compta!D193</f>
        <v>Virement - Remplacement cours samedi 28/09/2024 (1h30)</v>
      </c>
      <c r="D192" s="144">
        <f>Compta!E193</f>
        <v>0</v>
      </c>
      <c r="E192" s="144">
        <f>Compta!F193</f>
        <v>52.5</v>
      </c>
      <c r="F192" s="136">
        <f t="shared" si="2"/>
        <v>4885.4700000000039</v>
      </c>
      <c r="G192" s="130" t="str">
        <f>Compta!H193</f>
        <v>Oui</v>
      </c>
    </row>
    <row r="193" spans="1:7" ht="15" customHeight="1" x14ac:dyDescent="0.25">
      <c r="A193" s="42">
        <f>Compta!B194</f>
        <v>45741</v>
      </c>
      <c r="B193" s="43">
        <f>Compta!C194</f>
        <v>756800</v>
      </c>
      <c r="C193" s="44" t="str">
        <f>Compta!D194</f>
        <v>Cotisations 24-25 payées par chèques</v>
      </c>
      <c r="D193" s="144">
        <f>Compta!E194</f>
        <v>130</v>
      </c>
      <c r="E193" s="144">
        <f>Compta!F194</f>
        <v>0</v>
      </c>
      <c r="F193" s="136">
        <f t="shared" si="2"/>
        <v>7224.7000000000025</v>
      </c>
      <c r="G193" s="130" t="str">
        <f>Compta!H194</f>
        <v>Oui</v>
      </c>
    </row>
    <row r="194" spans="1:7" ht="15" customHeight="1" x14ac:dyDescent="0.25">
      <c r="A194" s="42">
        <f>Compta!B195</f>
        <v>45741</v>
      </c>
      <c r="B194" s="43">
        <f>Compta!C195</f>
        <v>756800</v>
      </c>
      <c r="C194" s="44" t="str">
        <f>Compta!D195</f>
        <v>Cotisations 24-25 payées en espèces</v>
      </c>
      <c r="D194" s="144">
        <f>Compta!E195</f>
        <v>5</v>
      </c>
      <c r="E194" s="144">
        <f>Compta!F195</f>
        <v>0</v>
      </c>
      <c r="F194" s="136">
        <f t="shared" si="2"/>
        <v>4890.4700000000039</v>
      </c>
      <c r="G194" s="130">
        <f>Compta!H195</f>
        <v>0</v>
      </c>
    </row>
    <row r="195" spans="1:7" ht="15" customHeight="1" x14ac:dyDescent="0.25">
      <c r="A195" s="42">
        <f>Compta!B196</f>
        <v>45744</v>
      </c>
      <c r="B195" s="43">
        <f>Compta!C196</f>
        <v>622640</v>
      </c>
      <c r="C195" s="44" t="str">
        <f>Compta!D196</f>
        <v>Virement - Remplacement HIIT 12/19/26 mars 25 (3h) + Cours Pilates 12/19/26 mars 25 (3h)</v>
      </c>
      <c r="D195" s="144">
        <f>Compta!E196</f>
        <v>0</v>
      </c>
      <c r="E195" s="144">
        <f>Compta!F196</f>
        <v>240</v>
      </c>
      <c r="F195" s="136">
        <f t="shared" si="2"/>
        <v>6984.7000000000025</v>
      </c>
      <c r="G195" s="130" t="str">
        <f>Compta!H196</f>
        <v>Oui</v>
      </c>
    </row>
    <row r="196" spans="1:7" ht="15" customHeight="1" x14ac:dyDescent="0.25">
      <c r="A196" s="42">
        <f>Compta!B197</f>
        <v>45746</v>
      </c>
      <c r="B196" s="43">
        <f>Compta!C197</f>
        <v>641200</v>
      </c>
      <c r="C196" s="44" t="str">
        <f>Compta!D197</f>
        <v>Virement salaires Mars 2025 KOBLAN-HUBERSON</v>
      </c>
      <c r="D196" s="144">
        <f>Compta!E197</f>
        <v>0</v>
      </c>
      <c r="E196" s="144">
        <f>Compta!F197</f>
        <v>492.94</v>
      </c>
      <c r="F196" s="136">
        <f t="shared" si="2"/>
        <v>4397.5300000000043</v>
      </c>
      <c r="G196" s="130" t="str">
        <f>Compta!H197</f>
        <v>Oui</v>
      </c>
    </row>
    <row r="197" spans="1:7" ht="15" customHeight="1" x14ac:dyDescent="0.25">
      <c r="A197" s="42">
        <f>Compta!B198</f>
        <v>45746</v>
      </c>
      <c r="B197" s="43">
        <f>Compta!C198</f>
        <v>641200</v>
      </c>
      <c r="C197" s="44" t="str">
        <f>Compta!D198</f>
        <v>Virement salaires Mars 2025 LE DUC</v>
      </c>
      <c r="D197" s="144">
        <f>Compta!E198</f>
        <v>0</v>
      </c>
      <c r="E197" s="144">
        <f>Compta!F198</f>
        <v>151.66999999999999</v>
      </c>
      <c r="F197" s="136">
        <f t="shared" si="2"/>
        <v>6833.0300000000025</v>
      </c>
      <c r="G197" s="130" t="str">
        <f>Compta!H198</f>
        <v>Oui</v>
      </c>
    </row>
    <row r="198" spans="1:7" ht="15" customHeight="1" x14ac:dyDescent="0.25">
      <c r="A198" s="42">
        <f>Compta!B199</f>
        <v>45746</v>
      </c>
      <c r="B198" s="43">
        <f>Compta!C199</f>
        <v>641200</v>
      </c>
      <c r="C198" s="44" t="str">
        <f>Compta!D199</f>
        <v>Virement salaires Mars 2025 MANSBENDEL</v>
      </c>
      <c r="D198" s="144">
        <f>Compta!E199</f>
        <v>0</v>
      </c>
      <c r="E198" s="144">
        <f>Compta!F199</f>
        <v>123.23</v>
      </c>
      <c r="F198" s="136">
        <f t="shared" si="2"/>
        <v>4274.3000000000047</v>
      </c>
      <c r="G198" s="130" t="str">
        <f>Compta!H199</f>
        <v>Oui</v>
      </c>
    </row>
    <row r="199" spans="1:7" ht="15" customHeight="1" x14ac:dyDescent="0.25">
      <c r="A199" s="42">
        <f>Compta!B200</f>
        <v>45746</v>
      </c>
      <c r="B199" s="43">
        <f>Compta!C200</f>
        <v>641200</v>
      </c>
      <c r="C199" s="44" t="str">
        <f>Compta!D200</f>
        <v>Virement salaires Mars 2025 NGUYEN TUONG</v>
      </c>
      <c r="D199" s="144">
        <f>Compta!E200</f>
        <v>0</v>
      </c>
      <c r="E199" s="144">
        <f>Compta!F200</f>
        <v>226.26</v>
      </c>
      <c r="F199" s="136">
        <f t="shared" si="2"/>
        <v>6606.7700000000023</v>
      </c>
      <c r="G199" s="130" t="str">
        <f>Compta!H200</f>
        <v>Oui</v>
      </c>
    </row>
    <row r="200" spans="1:7" ht="15" customHeight="1" x14ac:dyDescent="0.25">
      <c r="A200" s="42">
        <f>Compta!B201</f>
        <v>45746</v>
      </c>
      <c r="B200" s="43">
        <f>Compta!C201</f>
        <v>641200</v>
      </c>
      <c r="C200" s="44" t="str">
        <f>Compta!D201</f>
        <v>Virement salaires Mars 2025 PIQUET</v>
      </c>
      <c r="D200" s="144">
        <f>Compta!E201</f>
        <v>0</v>
      </c>
      <c r="E200" s="144">
        <f>Compta!F201</f>
        <v>105.78</v>
      </c>
      <c r="F200" s="136">
        <f t="shared" ref="F200:F263" si="3">+F198+D200-E200</f>
        <v>4168.520000000005</v>
      </c>
      <c r="G200" s="130" t="str">
        <f>Compta!H201</f>
        <v>Oui</v>
      </c>
    </row>
    <row r="201" spans="1:7" ht="15" customHeight="1" x14ac:dyDescent="0.25">
      <c r="A201" s="42">
        <f>Compta!B202</f>
        <v>45748</v>
      </c>
      <c r="B201" s="43">
        <f>Compta!C202</f>
        <v>645800</v>
      </c>
      <c r="C201" s="44" t="str">
        <f>Compta!D202</f>
        <v>Charges sociales Mars 2025</v>
      </c>
      <c r="D201" s="144">
        <f>Compta!E202</f>
        <v>0</v>
      </c>
      <c r="E201" s="144">
        <f>Compta!F202</f>
        <v>426.39</v>
      </c>
      <c r="F201" s="136">
        <f t="shared" si="3"/>
        <v>6180.3800000000019</v>
      </c>
      <c r="G201" s="130" t="str">
        <f>Compta!H202</f>
        <v>Oui</v>
      </c>
    </row>
    <row r="202" spans="1:7" ht="15" customHeight="1" x14ac:dyDescent="0.25">
      <c r="A202" s="42">
        <f>Compta!B203</f>
        <v>45748</v>
      </c>
      <c r="B202" s="43">
        <f>Compta!C203</f>
        <v>645700</v>
      </c>
      <c r="C202" s="44" t="str">
        <f>Compta!D203</f>
        <v>Prélèvement à la source Mars 2025</v>
      </c>
      <c r="D202" s="144">
        <f>Compta!E203</f>
        <v>0</v>
      </c>
      <c r="E202" s="144">
        <f>Compta!F203</f>
        <v>28.22</v>
      </c>
      <c r="F202" s="136">
        <f t="shared" si="3"/>
        <v>4140.3000000000047</v>
      </c>
      <c r="G202" s="130" t="str">
        <f>Compta!H203</f>
        <v>Oui</v>
      </c>
    </row>
    <row r="203" spans="1:7" ht="15" customHeight="1" x14ac:dyDescent="0.25">
      <c r="A203" s="42">
        <f>Compta!B204</f>
        <v>45748</v>
      </c>
      <c r="B203" s="43">
        <f>Compta!C204</f>
        <v>622610</v>
      </c>
      <c r="C203" s="44" t="str">
        <f>Compta!D204</f>
        <v>Frais du cabinet comptable par salarié Mars 2025</v>
      </c>
      <c r="D203" s="144">
        <f>Compta!E204</f>
        <v>0</v>
      </c>
      <c r="E203" s="144">
        <f>Compta!F204</f>
        <v>105</v>
      </c>
      <c r="F203" s="136">
        <f t="shared" si="3"/>
        <v>6075.3800000000019</v>
      </c>
      <c r="G203" s="130" t="str">
        <f>Compta!H204</f>
        <v>Oui</v>
      </c>
    </row>
    <row r="204" spans="1:7" ht="15" customHeight="1" x14ac:dyDescent="0.25">
      <c r="A204" s="42">
        <f>Compta!B205</f>
        <v>45751</v>
      </c>
      <c r="B204" s="43">
        <f>Compta!C205</f>
        <v>740900</v>
      </c>
      <c r="C204" s="44" t="str">
        <f>Compta!D205</f>
        <v>Subvention LPOL CD 2024/2025</v>
      </c>
      <c r="D204" s="144">
        <f>Compta!E205</f>
        <v>5000</v>
      </c>
      <c r="E204" s="144">
        <f>Compta!F205</f>
        <v>0</v>
      </c>
      <c r="F204" s="136">
        <f t="shared" si="3"/>
        <v>9140.3000000000047</v>
      </c>
      <c r="G204" s="130" t="str">
        <f>Compta!H205</f>
        <v>Oui</v>
      </c>
    </row>
    <row r="205" spans="1:7" ht="15" customHeight="1" x14ac:dyDescent="0.25">
      <c r="A205" s="42">
        <f>Compta!B206</f>
        <v>45772</v>
      </c>
      <c r="B205" s="43">
        <f>Compta!C206</f>
        <v>626200</v>
      </c>
      <c r="C205" s="44" t="str">
        <f>Compta!D206</f>
        <v>Frais Téléphone Sosh</v>
      </c>
      <c r="D205" s="144">
        <f>Compta!E206</f>
        <v>0</v>
      </c>
      <c r="E205" s="144">
        <f>Compta!F206</f>
        <v>9.99</v>
      </c>
      <c r="F205" s="136">
        <f t="shared" si="3"/>
        <v>6065.3900000000021</v>
      </c>
      <c r="G205" s="130" t="str">
        <f>Compta!H206</f>
        <v>Oui</v>
      </c>
    </row>
    <row r="206" spans="1:7" ht="15" customHeight="1" x14ac:dyDescent="0.25">
      <c r="A206" s="42">
        <f>Compta!B207</f>
        <v>45777</v>
      </c>
      <c r="B206" s="43">
        <f>Compta!C207</f>
        <v>641200</v>
      </c>
      <c r="C206" s="44" t="str">
        <f>Compta!D207</f>
        <v>Virement salaires Avril 2025 KOBLAN-HUBERSON</v>
      </c>
      <c r="D206" s="144">
        <f>Compta!E207</f>
        <v>0</v>
      </c>
      <c r="E206" s="144">
        <f>Compta!F207</f>
        <v>492.94</v>
      </c>
      <c r="F206" s="136">
        <f t="shared" si="3"/>
        <v>8647.3600000000042</v>
      </c>
      <c r="G206" s="130" t="str">
        <f>Compta!H207</f>
        <v>Oui</v>
      </c>
    </row>
    <row r="207" spans="1:7" ht="15" customHeight="1" x14ac:dyDescent="0.25">
      <c r="A207" s="42">
        <f>Compta!B208</f>
        <v>45777</v>
      </c>
      <c r="B207" s="43">
        <f>Compta!C208</f>
        <v>641200</v>
      </c>
      <c r="C207" s="44" t="str">
        <f>Compta!D208</f>
        <v>Virement salaires Avril 2025 LE DUC</v>
      </c>
      <c r="D207" s="144">
        <f>Compta!E208</f>
        <v>0</v>
      </c>
      <c r="E207" s="144">
        <f>Compta!F208</f>
        <v>288.68</v>
      </c>
      <c r="F207" s="136">
        <f t="shared" si="3"/>
        <v>5776.7100000000019</v>
      </c>
      <c r="G207" s="130" t="str">
        <f>Compta!H208</f>
        <v>Oui</v>
      </c>
    </row>
    <row r="208" spans="1:7" ht="15" customHeight="1" x14ac:dyDescent="0.25">
      <c r="A208" s="42">
        <f>Compta!B209</f>
        <v>45777</v>
      </c>
      <c r="B208" s="43">
        <f>Compta!C209</f>
        <v>641200</v>
      </c>
      <c r="C208" s="44" t="str">
        <f>Compta!D209</f>
        <v>Virement salaires Avril 2025 MANSBENDEL</v>
      </c>
      <c r="D208" s="144">
        <f>Compta!E209</f>
        <v>0</v>
      </c>
      <c r="E208" s="144">
        <f>Compta!F209</f>
        <v>174.36</v>
      </c>
      <c r="F208" s="136">
        <f t="shared" si="3"/>
        <v>8473.0000000000036</v>
      </c>
      <c r="G208" s="130" t="str">
        <f>Compta!H209</f>
        <v>Oui</v>
      </c>
    </row>
    <row r="209" spans="1:7" ht="15" customHeight="1" x14ac:dyDescent="0.25">
      <c r="A209" s="42">
        <f>Compta!B210</f>
        <v>45777</v>
      </c>
      <c r="B209" s="43">
        <f>Compta!C210</f>
        <v>641200</v>
      </c>
      <c r="C209" s="44" t="str">
        <f>Compta!D210</f>
        <v>Virement salaires Avril 2025 NGUYEN TUONG</v>
      </c>
      <c r="D209" s="144">
        <f>Compta!E210</f>
        <v>0</v>
      </c>
      <c r="E209" s="144">
        <f>Compta!F210</f>
        <v>503.39</v>
      </c>
      <c r="F209" s="136">
        <f t="shared" si="3"/>
        <v>5273.3200000000015</v>
      </c>
      <c r="G209" s="130" t="str">
        <f>Compta!H210</f>
        <v>Oui</v>
      </c>
    </row>
    <row r="210" spans="1:7" ht="15" customHeight="1" x14ac:dyDescent="0.25">
      <c r="A210" s="42">
        <f>Compta!B211</f>
        <v>45777</v>
      </c>
      <c r="B210" s="43">
        <f>Compta!C211</f>
        <v>641200</v>
      </c>
      <c r="C210" s="44" t="str">
        <f>Compta!D211</f>
        <v>Virement salaires Avril 2025 PIQUET</v>
      </c>
      <c r="D210" s="144">
        <f>Compta!E211</f>
        <v>0</v>
      </c>
      <c r="E210" s="144">
        <f>Compta!F211</f>
        <v>272.45999999999998</v>
      </c>
      <c r="F210" s="136">
        <f t="shared" si="3"/>
        <v>8200.5400000000045</v>
      </c>
      <c r="G210" s="130" t="str">
        <f>Compta!H211</f>
        <v>Oui</v>
      </c>
    </row>
    <row r="211" spans="1:7" ht="15" customHeight="1" x14ac:dyDescent="0.25">
      <c r="A211" s="42">
        <f>Compta!B212</f>
        <v>45777</v>
      </c>
      <c r="B211" s="43">
        <f>Compta!C212</f>
        <v>645800</v>
      </c>
      <c r="C211" s="44" t="str">
        <f>Compta!D212</f>
        <v>Charges sociales Avril 2025</v>
      </c>
      <c r="D211" s="144">
        <f>Compta!E212</f>
        <v>0</v>
      </c>
      <c r="E211" s="144">
        <f>Compta!F212</f>
        <v>695.48</v>
      </c>
      <c r="F211" s="136">
        <f t="shared" si="3"/>
        <v>4577.840000000002</v>
      </c>
      <c r="G211" s="130" t="str">
        <f>Compta!H212</f>
        <v>Oui</v>
      </c>
    </row>
    <row r="212" spans="1:7" ht="15" customHeight="1" x14ac:dyDescent="0.25">
      <c r="A212" s="42">
        <f>Compta!B213</f>
        <v>45777</v>
      </c>
      <c r="B212" s="43">
        <f>Compta!C213</f>
        <v>645700</v>
      </c>
      <c r="C212" s="44" t="str">
        <f>Compta!D213</f>
        <v>Prélèvement à la source Avril 2025</v>
      </c>
      <c r="D212" s="144">
        <f>Compta!E213</f>
        <v>0</v>
      </c>
      <c r="E212" s="144">
        <f>Compta!F213</f>
        <v>56.61</v>
      </c>
      <c r="F212" s="136">
        <f t="shared" si="3"/>
        <v>8143.9300000000048</v>
      </c>
      <c r="G212" s="130" t="str">
        <f>Compta!H213</f>
        <v>Oui</v>
      </c>
    </row>
    <row r="213" spans="1:7" ht="15" customHeight="1" x14ac:dyDescent="0.25">
      <c r="A213" s="42">
        <f>Compta!B214</f>
        <v>45777</v>
      </c>
      <c r="B213" s="43">
        <f>Compta!C214</f>
        <v>622610</v>
      </c>
      <c r="C213" s="44" t="str">
        <f>Compta!D214</f>
        <v>Frais du cabinet comptable par salarié Avril 2025</v>
      </c>
      <c r="D213" s="144">
        <f>Compta!E214</f>
        <v>0</v>
      </c>
      <c r="E213" s="144">
        <f>Compta!F214</f>
        <v>105</v>
      </c>
      <c r="F213" s="136">
        <f t="shared" si="3"/>
        <v>4472.840000000002</v>
      </c>
      <c r="G213" s="130" t="str">
        <f>Compta!H214</f>
        <v>Oui</v>
      </c>
    </row>
    <row r="214" spans="1:7" ht="15" customHeight="1" x14ac:dyDescent="0.25">
      <c r="A214" s="42">
        <f>Compta!B215</f>
        <v>45778</v>
      </c>
      <c r="B214" s="43">
        <f>Compta!C215</f>
        <v>622640</v>
      </c>
      <c r="C214" s="44" t="str">
        <f>Compta!D215</f>
        <v xml:space="preserve">Virement - HIIT et Pilates 02/09/16/23/30 avril 25 (10h) + Rempl senior et cardio 14 avril 25 (2h) </v>
      </c>
      <c r="D214" s="144">
        <f>Compta!E215</f>
        <v>0</v>
      </c>
      <c r="E214" s="144">
        <f>Compta!F215</f>
        <v>480</v>
      </c>
      <c r="F214" s="136">
        <f t="shared" si="3"/>
        <v>7663.9300000000048</v>
      </c>
      <c r="G214" s="130" t="str">
        <f>Compta!H215</f>
        <v>Oui</v>
      </c>
    </row>
    <row r="215" spans="1:7" ht="15" customHeight="1" x14ac:dyDescent="0.25">
      <c r="A215" s="42">
        <f>Compta!B216</f>
        <v>45778</v>
      </c>
      <c r="B215" s="43">
        <f>Compta!C216</f>
        <v>605100</v>
      </c>
      <c r="C215" s="44" t="str">
        <f>Compta!D216</f>
        <v xml:space="preserve">Virement - Remboursement achat enceinte pour cours dans gymnases Linder et Nicolas </v>
      </c>
      <c r="D215" s="144">
        <f>Compta!E216</f>
        <v>0</v>
      </c>
      <c r="E215" s="144">
        <f>Compta!F216</f>
        <v>189.99</v>
      </c>
      <c r="F215" s="136">
        <f t="shared" si="3"/>
        <v>4282.8500000000022</v>
      </c>
      <c r="G215" s="130" t="str">
        <f>Compta!H216</f>
        <v>Oui</v>
      </c>
    </row>
    <row r="216" spans="1:7" ht="15" customHeight="1" x14ac:dyDescent="0.25">
      <c r="A216" s="42">
        <f>Compta!B217</f>
        <v>45789</v>
      </c>
      <c r="B216" s="43">
        <f>Compta!C217</f>
        <v>627800</v>
      </c>
      <c r="C216" s="44" t="str">
        <f>Compta!D217</f>
        <v>Facture commission carte automate bancaire</v>
      </c>
      <c r="D216" s="144">
        <f>Compta!E217</f>
        <v>0</v>
      </c>
      <c r="E216" s="144">
        <f>Compta!F217</f>
        <v>9</v>
      </c>
      <c r="F216" s="136">
        <f t="shared" si="3"/>
        <v>7654.9300000000048</v>
      </c>
      <c r="G216" s="130" t="str">
        <f>Compta!H217</f>
        <v>Oui</v>
      </c>
    </row>
    <row r="217" spans="1:7" ht="15" customHeight="1" x14ac:dyDescent="0.25">
      <c r="A217" s="42">
        <f>Compta!B218</f>
        <v>45795</v>
      </c>
      <c r="B217" s="43" t="str">
        <f>Compta!C218</f>
        <v>-</v>
      </c>
      <c r="C217" s="44" t="str">
        <f>Compta!D218</f>
        <v>Virement livret vers banque (1 000 €)</v>
      </c>
      <c r="D217" s="144">
        <f>Compta!E218</f>
        <v>0</v>
      </c>
      <c r="E217" s="144">
        <f>Compta!F218</f>
        <v>0</v>
      </c>
      <c r="F217" s="136">
        <f t="shared" si="3"/>
        <v>4282.8500000000022</v>
      </c>
      <c r="G217" s="130" t="str">
        <f>Compta!H218</f>
        <v>Oui</v>
      </c>
    </row>
    <row r="218" spans="1:7" ht="15" customHeight="1" x14ac:dyDescent="0.25">
      <c r="A218" s="42">
        <f>Compta!B219</f>
        <v>45803</v>
      </c>
      <c r="B218" s="43">
        <f>Compta!C219</f>
        <v>626200</v>
      </c>
      <c r="C218" s="44" t="str">
        <f>Compta!D219</f>
        <v>Frais Téléphone Sosh</v>
      </c>
      <c r="D218" s="144">
        <f>Compta!E219</f>
        <v>0</v>
      </c>
      <c r="E218" s="144">
        <f>Compta!F219</f>
        <v>9.99</v>
      </c>
      <c r="F218" s="136">
        <f t="shared" si="3"/>
        <v>7644.9400000000051</v>
      </c>
      <c r="G218" s="130" t="str">
        <f>Compta!H219</f>
        <v>Oui</v>
      </c>
    </row>
    <row r="219" spans="1:7" ht="15" customHeight="1" x14ac:dyDescent="0.25">
      <c r="A219" s="42">
        <f>Compta!B220</f>
        <v>45806</v>
      </c>
      <c r="B219" s="43">
        <f>Compta!C220</f>
        <v>622640</v>
      </c>
      <c r="C219" s="44" t="str">
        <f>Compta!D220</f>
        <v>Virement - Remplacement HIIT 14/21/28 mai 25 (3h) + Cours Pilates 14/21/28 mai 25 (3h)</v>
      </c>
      <c r="D219" s="144">
        <f>Compta!E220</f>
        <v>0</v>
      </c>
      <c r="E219" s="144">
        <f>Compta!F220</f>
        <v>240</v>
      </c>
      <c r="F219" s="136">
        <f t="shared" si="3"/>
        <v>4042.8500000000022</v>
      </c>
      <c r="G219" s="130" t="str">
        <f>Compta!H220</f>
        <v>Oui</v>
      </c>
    </row>
    <row r="220" spans="1:7" ht="15" customHeight="1" x14ac:dyDescent="0.25">
      <c r="A220" s="42">
        <f>Compta!B221</f>
        <v>45808</v>
      </c>
      <c r="B220" s="43">
        <f>Compta!C221</f>
        <v>641200</v>
      </c>
      <c r="C220" s="44" t="str">
        <f>Compta!D221</f>
        <v>Virement salaires Mai 2025 KOBLAN-HUBERSON</v>
      </c>
      <c r="D220" s="144">
        <f>Compta!E221</f>
        <v>0</v>
      </c>
      <c r="E220" s="144">
        <f>Compta!F221</f>
        <v>475.26</v>
      </c>
      <c r="F220" s="136">
        <f t="shared" si="3"/>
        <v>7169.6800000000048</v>
      </c>
      <c r="G220" s="130" t="str">
        <f>Compta!H221</f>
        <v>Oui</v>
      </c>
    </row>
    <row r="221" spans="1:7" ht="15" customHeight="1" x14ac:dyDescent="0.25">
      <c r="A221" s="42">
        <f>Compta!B222</f>
        <v>45808</v>
      </c>
      <c r="B221" s="43">
        <f>Compta!C222</f>
        <v>641200</v>
      </c>
      <c r="C221" s="44" t="str">
        <f>Compta!D222</f>
        <v>Virement salaires Mai 2025 LE DUC</v>
      </c>
      <c r="D221" s="144">
        <f>Compta!E222</f>
        <v>0</v>
      </c>
      <c r="E221" s="144">
        <f>Compta!F222</f>
        <v>227</v>
      </c>
      <c r="F221" s="136">
        <f t="shared" si="3"/>
        <v>3815.8500000000022</v>
      </c>
      <c r="G221" s="130" t="str">
        <f>Compta!H222</f>
        <v>Oui</v>
      </c>
    </row>
    <row r="222" spans="1:7" ht="15" customHeight="1" x14ac:dyDescent="0.25">
      <c r="A222" s="42">
        <f>Compta!B223</f>
        <v>45808</v>
      </c>
      <c r="B222" s="43">
        <f>Compta!C223</f>
        <v>641200</v>
      </c>
      <c r="C222" s="44" t="str">
        <f>Compta!D223</f>
        <v>Virement salaires Mai 2025 MANSBENDEL</v>
      </c>
      <c r="D222" s="144">
        <f>Compta!E223</f>
        <v>0</v>
      </c>
      <c r="E222" s="144">
        <f>Compta!F223</f>
        <v>123.23</v>
      </c>
      <c r="F222" s="136">
        <f t="shared" si="3"/>
        <v>7046.4500000000053</v>
      </c>
      <c r="G222" s="130" t="str">
        <f>Compta!H223</f>
        <v>Oui</v>
      </c>
    </row>
    <row r="223" spans="1:7" ht="15" customHeight="1" x14ac:dyDescent="0.25">
      <c r="A223" s="42">
        <f>Compta!B224</f>
        <v>45808</v>
      </c>
      <c r="B223" s="43">
        <f>Compta!C224</f>
        <v>641200</v>
      </c>
      <c r="C223" s="44" t="str">
        <f>Compta!D224</f>
        <v>Virement salaires Mai 2025 NGUYEN TUONG</v>
      </c>
      <c r="D223" s="144">
        <f>Compta!E224</f>
        <v>0</v>
      </c>
      <c r="E223" s="144">
        <f>Compta!F224</f>
        <v>375.23</v>
      </c>
      <c r="F223" s="136">
        <f t="shared" si="3"/>
        <v>3440.6200000000022</v>
      </c>
      <c r="G223" s="130" t="str">
        <f>Compta!H224</f>
        <v>Oui</v>
      </c>
    </row>
    <row r="224" spans="1:7" ht="15" customHeight="1" x14ac:dyDescent="0.25">
      <c r="A224" s="42">
        <f>Compta!B225</f>
        <v>45808</v>
      </c>
      <c r="B224" s="43">
        <f>Compta!C225</f>
        <v>641200</v>
      </c>
      <c r="C224" s="44" t="str">
        <f>Compta!D225</f>
        <v>Virement salaires Mai 2025 PIQUET</v>
      </c>
      <c r="D224" s="144">
        <f>Compta!E225</f>
        <v>0</v>
      </c>
      <c r="E224" s="144">
        <f>Compta!F225</f>
        <v>230.62</v>
      </c>
      <c r="F224" s="136">
        <f t="shared" si="3"/>
        <v>6815.8300000000054</v>
      </c>
      <c r="G224" s="130" t="str">
        <f>Compta!H225</f>
        <v>Oui</v>
      </c>
    </row>
    <row r="225" spans="1:7" ht="15" customHeight="1" x14ac:dyDescent="0.25">
      <c r="A225" s="42">
        <f>Compta!B226</f>
        <v>45808</v>
      </c>
      <c r="B225" s="43">
        <f>Compta!C226</f>
        <v>645800</v>
      </c>
      <c r="C225" s="44" t="str">
        <f>Compta!D226</f>
        <v>Charges sociales Mai 2025</v>
      </c>
      <c r="D225" s="144">
        <f>Compta!E226</f>
        <v>0</v>
      </c>
      <c r="E225" s="144">
        <f>Compta!F226</f>
        <v>534.39</v>
      </c>
      <c r="F225" s="136">
        <f t="shared" si="3"/>
        <v>2906.2300000000023</v>
      </c>
      <c r="G225" s="130" t="str">
        <f>Compta!H226</f>
        <v>Oui</v>
      </c>
    </row>
    <row r="226" spans="1:7" ht="15" customHeight="1" x14ac:dyDescent="0.25">
      <c r="A226" s="42">
        <f>Compta!B227</f>
        <v>45808</v>
      </c>
      <c r="B226" s="43">
        <f>Compta!C227</f>
        <v>645700</v>
      </c>
      <c r="C226" s="44" t="str">
        <f>Compta!D227</f>
        <v>Prélèvement à la source Mai 2025</v>
      </c>
      <c r="D226" s="144">
        <f>Compta!E227</f>
        <v>0</v>
      </c>
      <c r="E226" s="144">
        <f>Compta!F227</f>
        <v>44.24</v>
      </c>
      <c r="F226" s="136">
        <f t="shared" si="3"/>
        <v>6771.5900000000056</v>
      </c>
      <c r="G226" s="130" t="str">
        <f>Compta!H227</f>
        <v>Oui</v>
      </c>
    </row>
    <row r="227" spans="1:7" ht="15" customHeight="1" x14ac:dyDescent="0.25">
      <c r="A227" s="42">
        <f>Compta!B228</f>
        <v>45808</v>
      </c>
      <c r="B227" s="43">
        <f>Compta!C228</f>
        <v>622610</v>
      </c>
      <c r="C227" s="44" t="str">
        <f>Compta!D228</f>
        <v>Frais du cabinet comptable par salarié Mai 2025</v>
      </c>
      <c r="D227" s="144">
        <f>Compta!E228</f>
        <v>0</v>
      </c>
      <c r="E227" s="144">
        <f>Compta!F228</f>
        <v>105</v>
      </c>
      <c r="F227" s="136">
        <f t="shared" si="3"/>
        <v>2801.2300000000023</v>
      </c>
      <c r="G227" s="130" t="str">
        <f>Compta!H228</f>
        <v>Oui</v>
      </c>
    </row>
    <row r="228" spans="1:7" ht="15" customHeight="1" x14ac:dyDescent="0.25">
      <c r="A228" s="42">
        <f>Compta!B229</f>
        <v>45811</v>
      </c>
      <c r="B228" s="43">
        <f>Compta!C229</f>
        <v>622640</v>
      </c>
      <c r="C228" s="44" t="str">
        <f>Compta!D229</f>
        <v>Virement - Remplacement cours samedi 05/05/2025 (1h30)</v>
      </c>
      <c r="D228" s="144">
        <f>Compta!E229</f>
        <v>0</v>
      </c>
      <c r="E228" s="144">
        <f>Compta!F229</f>
        <v>52.5</v>
      </c>
      <c r="F228" s="136">
        <f t="shared" si="3"/>
        <v>6719.0900000000056</v>
      </c>
      <c r="G228" s="130" t="str">
        <f>Compta!H229</f>
        <v>Oui</v>
      </c>
    </row>
    <row r="229" spans="1:7" ht="15" customHeight="1" x14ac:dyDescent="0.25">
      <c r="A229" s="42">
        <f>Compta!B230</f>
        <v>45827</v>
      </c>
      <c r="B229" s="43" t="str">
        <f>Compta!C230</f>
        <v>-</v>
      </c>
      <c r="C229" s="44" t="str">
        <f>Compta!D230</f>
        <v>Virement livret vers banque (1 500 €)</v>
      </c>
      <c r="D229" s="144">
        <f>Compta!E230</f>
        <v>0</v>
      </c>
      <c r="E229" s="144">
        <f>Compta!F230</f>
        <v>0</v>
      </c>
      <c r="F229" s="136">
        <f t="shared" si="3"/>
        <v>2801.2300000000023</v>
      </c>
      <c r="G229" s="130" t="str">
        <f>Compta!H230</f>
        <v>Oui</v>
      </c>
    </row>
    <row r="230" spans="1:7" ht="15" customHeight="1" x14ac:dyDescent="0.25">
      <c r="A230" s="42">
        <f>Compta!B231</f>
        <v>45831</v>
      </c>
      <c r="B230" s="43">
        <f>Compta!C231</f>
        <v>626200</v>
      </c>
      <c r="C230" s="44" t="str">
        <f>Compta!D231</f>
        <v>Frais Téléphone Sosh</v>
      </c>
      <c r="D230" s="144">
        <f>Compta!E231</f>
        <v>0</v>
      </c>
      <c r="E230" s="144">
        <f>Compta!F231</f>
        <v>9.99</v>
      </c>
      <c r="F230" s="136">
        <f t="shared" si="3"/>
        <v>6709.1000000000058</v>
      </c>
      <c r="G230" s="130" t="str">
        <f>Compta!H231</f>
        <v>Oui</v>
      </c>
    </row>
    <row r="231" spans="1:7" ht="15" customHeight="1" x14ac:dyDescent="0.25">
      <c r="A231" s="42">
        <f>Compta!B232</f>
        <v>45837</v>
      </c>
      <c r="B231" s="43">
        <f>Compta!C232</f>
        <v>647500</v>
      </c>
      <c r="C231" s="44" t="str">
        <f>Compta!D232</f>
        <v>Cotisation ACMS Isabelle PIQUET (médecine du travail)</v>
      </c>
      <c r="D231" s="144">
        <f>Compta!E232</f>
        <v>0</v>
      </c>
      <c r="E231" s="144">
        <f>Compta!F232</f>
        <v>141</v>
      </c>
      <c r="F231" s="136">
        <f t="shared" si="3"/>
        <v>2660.2300000000023</v>
      </c>
      <c r="G231" s="130" t="str">
        <f>Compta!H232</f>
        <v>Oui</v>
      </c>
    </row>
    <row r="232" spans="1:7" ht="15" customHeight="1" x14ac:dyDescent="0.25">
      <c r="A232" s="42">
        <f>Compta!B233</f>
        <v>45838</v>
      </c>
      <c r="B232" s="43">
        <f>Compta!C233</f>
        <v>641200</v>
      </c>
      <c r="C232" s="44" t="str">
        <f>Compta!D233</f>
        <v>Virement salaires Juin 2025 KOBLAN-HUBERSON</v>
      </c>
      <c r="D232" s="144">
        <f>Compta!E233</f>
        <v>0</v>
      </c>
      <c r="E232" s="144">
        <f>Compta!F233</f>
        <v>543.26</v>
      </c>
      <c r="F232" s="136">
        <f t="shared" si="3"/>
        <v>6165.8400000000056</v>
      </c>
      <c r="G232" s="130" t="str">
        <f>Compta!H233</f>
        <v>Oui</v>
      </c>
    </row>
    <row r="233" spans="1:7" ht="15" customHeight="1" x14ac:dyDescent="0.25">
      <c r="A233" s="42">
        <f>Compta!B234</f>
        <v>45838</v>
      </c>
      <c r="B233" s="43">
        <f>Compta!C234</f>
        <v>641200</v>
      </c>
      <c r="C233" s="44" t="str">
        <f>Compta!D234</f>
        <v>Virement salaires Juin 2025 LE DUC</v>
      </c>
      <c r="D233" s="144">
        <f>Compta!E234</f>
        <v>0</v>
      </c>
      <c r="E233" s="144">
        <f>Compta!F234</f>
        <v>317.69</v>
      </c>
      <c r="F233" s="136">
        <f t="shared" si="3"/>
        <v>2342.5400000000022</v>
      </c>
      <c r="G233" s="130" t="str">
        <f>Compta!H234</f>
        <v>Oui</v>
      </c>
    </row>
    <row r="234" spans="1:7" ht="15" customHeight="1" x14ac:dyDescent="0.25">
      <c r="A234" s="42">
        <f>Compta!B235</f>
        <v>45838</v>
      </c>
      <c r="B234" s="43">
        <f>Compta!C235</f>
        <v>641200</v>
      </c>
      <c r="C234" s="44" t="str">
        <f>Compta!D235</f>
        <v>Virement salaires Juin 2025 MANSBENDEL</v>
      </c>
      <c r="D234" s="144">
        <f>Compta!E235</f>
        <v>0</v>
      </c>
      <c r="E234" s="144">
        <f>Compta!F235</f>
        <v>174.36</v>
      </c>
      <c r="F234" s="136">
        <f t="shared" si="3"/>
        <v>5991.4800000000059</v>
      </c>
      <c r="G234" s="130" t="str">
        <f>Compta!H235</f>
        <v>Oui</v>
      </c>
    </row>
    <row r="235" spans="1:7" ht="15" customHeight="1" x14ac:dyDescent="0.25">
      <c r="A235" s="42">
        <f>Compta!B236</f>
        <v>45838</v>
      </c>
      <c r="B235" s="43">
        <f>Compta!C236</f>
        <v>641200</v>
      </c>
      <c r="C235" s="44" t="str">
        <f>Compta!D236</f>
        <v>Virement salaires Juin 2025 NGUYEN TUONG</v>
      </c>
      <c r="D235" s="144">
        <f>Compta!E236</f>
        <v>0</v>
      </c>
      <c r="E235" s="144">
        <f>Compta!F236</f>
        <v>503.39</v>
      </c>
      <c r="F235" s="136">
        <f t="shared" si="3"/>
        <v>1839.1500000000024</v>
      </c>
      <c r="G235" s="130" t="str">
        <f>Compta!H236</f>
        <v>Oui</v>
      </c>
    </row>
    <row r="236" spans="1:7" ht="15" customHeight="1" x14ac:dyDescent="0.25">
      <c r="A236" s="42">
        <f>Compta!B237</f>
        <v>45838</v>
      </c>
      <c r="B236" s="43">
        <f>Compta!C237</f>
        <v>641200</v>
      </c>
      <c r="C236" s="44" t="str">
        <f>Compta!D237</f>
        <v>Virement salaires Juin 2025 PIQUET</v>
      </c>
      <c r="D236" s="144">
        <f>Compta!E237</f>
        <v>0</v>
      </c>
      <c r="E236" s="144">
        <f>Compta!F237</f>
        <v>272.45999999999998</v>
      </c>
      <c r="F236" s="136">
        <f t="shared" si="3"/>
        <v>5719.0200000000059</v>
      </c>
      <c r="G236" s="130" t="str">
        <f>Compta!H237</f>
        <v>Oui</v>
      </c>
    </row>
    <row r="237" spans="1:7" ht="15" customHeight="1" x14ac:dyDescent="0.25">
      <c r="A237" s="42">
        <f>Compta!B238</f>
        <v>45838</v>
      </c>
      <c r="B237" s="43">
        <f>Compta!C238</f>
        <v>645800</v>
      </c>
      <c r="C237" s="44" t="str">
        <f>Compta!D238</f>
        <v>Charges sociales Juin 2025</v>
      </c>
      <c r="D237" s="144">
        <f>Compta!E238</f>
        <v>0</v>
      </c>
      <c r="E237" s="144">
        <f>Compta!F238</f>
        <v>720.59</v>
      </c>
      <c r="F237" s="136">
        <f t="shared" si="3"/>
        <v>1118.5600000000022</v>
      </c>
      <c r="G237" s="130" t="str">
        <f>Compta!H238</f>
        <v>Oui</v>
      </c>
    </row>
    <row r="238" spans="1:7" ht="15" customHeight="1" x14ac:dyDescent="0.25">
      <c r="A238" s="42">
        <f>Compta!B239</f>
        <v>45838</v>
      </c>
      <c r="B238" s="43">
        <f>Compta!C239</f>
        <v>645700</v>
      </c>
      <c r="C238" s="44" t="str">
        <f>Compta!D239</f>
        <v>Prélèvement à la source Juin 2025</v>
      </c>
      <c r="D238" s="144">
        <f>Compta!E239</f>
        <v>0</v>
      </c>
      <c r="E238" s="144">
        <f>Compta!F239</f>
        <v>56.61</v>
      </c>
      <c r="F238" s="136">
        <f t="shared" si="3"/>
        <v>5662.4100000000062</v>
      </c>
      <c r="G238" s="130" t="str">
        <f>Compta!H239</f>
        <v>Oui</v>
      </c>
    </row>
    <row r="239" spans="1:7" ht="15" customHeight="1" x14ac:dyDescent="0.25">
      <c r="A239" s="42">
        <f>Compta!B240</f>
        <v>45838</v>
      </c>
      <c r="B239" s="43">
        <f>Compta!C240</f>
        <v>622610</v>
      </c>
      <c r="C239" s="44" t="str">
        <f>Compta!D240</f>
        <v>Frais du cabinet comptable par salarié Juin 2025</v>
      </c>
      <c r="D239" s="144">
        <f>Compta!E240</f>
        <v>0</v>
      </c>
      <c r="E239" s="144">
        <f>Compta!F240</f>
        <v>105</v>
      </c>
      <c r="F239" s="136">
        <f t="shared" si="3"/>
        <v>1013.5600000000022</v>
      </c>
      <c r="G239" s="130" t="str">
        <f>Compta!H240</f>
        <v>Oui</v>
      </c>
    </row>
    <row r="240" spans="1:7" ht="15" customHeight="1" x14ac:dyDescent="0.25">
      <c r="A240" s="42">
        <f>Compta!B241</f>
        <v>45840</v>
      </c>
      <c r="B240" s="43">
        <f>Compta!C241</f>
        <v>622640</v>
      </c>
      <c r="C240" s="44" t="str">
        <f>Compta!D241</f>
        <v>Virement - Remplacement HIIT 4/11/18/25 juin 25 (4h) + Cours Pilates 4/11/18/25 juin 25 (4h)</v>
      </c>
      <c r="D240" s="144">
        <f>Compta!E241</f>
        <v>0</v>
      </c>
      <c r="E240" s="144">
        <f>Compta!F241</f>
        <v>320</v>
      </c>
      <c r="F240" s="136">
        <f t="shared" si="3"/>
        <v>5342.4100000000062</v>
      </c>
      <c r="G240" s="130" t="str">
        <f>Compta!H241</f>
        <v>Oui</v>
      </c>
    </row>
    <row r="241" spans="1:7" ht="15" customHeight="1" x14ac:dyDescent="0.25">
      <c r="A241" s="42">
        <f>Compta!B242</f>
        <v>45848</v>
      </c>
      <c r="B241" s="43">
        <f>Compta!C242</f>
        <v>607100</v>
      </c>
      <c r="C241" s="44" t="str">
        <f>Compta!D242</f>
        <v>Chèque 4769026 (total 44,79) - Rembours achat alimentation - Fête fin saison 30/06/25</v>
      </c>
      <c r="D241" s="144">
        <f>Compta!E242</f>
        <v>0</v>
      </c>
      <c r="E241" s="144">
        <f>Compta!F242</f>
        <v>7.68</v>
      </c>
      <c r="F241" s="136">
        <f t="shared" si="3"/>
        <v>1005.8800000000023</v>
      </c>
      <c r="G241" s="130" t="str">
        <f>Compta!H242</f>
        <v>Oui</v>
      </c>
    </row>
    <row r="242" spans="1:7" ht="15" customHeight="1" x14ac:dyDescent="0.25">
      <c r="A242" s="42">
        <f>Compta!B243</f>
        <v>45848</v>
      </c>
      <c r="B242" s="43">
        <f>Compta!C243</f>
        <v>607200</v>
      </c>
      <c r="C242" s="44" t="str">
        <f>Compta!D243</f>
        <v>Chèque 4769026 (total 44,79) - Rembours achat boissons - Fête fin saison 30/06/25</v>
      </c>
      <c r="D242" s="144">
        <f>Compta!E243</f>
        <v>0</v>
      </c>
      <c r="E242" s="144">
        <f>Compta!F243</f>
        <v>25.310000000000002</v>
      </c>
      <c r="F242" s="136">
        <f t="shared" si="3"/>
        <v>5317.1000000000058</v>
      </c>
      <c r="G242" s="130" t="str">
        <f>Compta!H243</f>
        <v>Oui</v>
      </c>
    </row>
    <row r="243" spans="1:7" ht="15" customHeight="1" x14ac:dyDescent="0.25">
      <c r="A243" s="42">
        <f>Compta!B244</f>
        <v>45848</v>
      </c>
      <c r="B243" s="43">
        <f>Compta!C244</f>
        <v>606800</v>
      </c>
      <c r="C243" s="44" t="str">
        <f>Compta!D244</f>
        <v>Chèque 4769026 (total 44,79) - Rembours achat verres &amp; serviettes - Fête fin saison 30/06/25</v>
      </c>
      <c r="D243" s="144">
        <f>Compta!E244</f>
        <v>0</v>
      </c>
      <c r="E243" s="144">
        <f>Compta!F244</f>
        <v>11.8</v>
      </c>
      <c r="F243" s="136">
        <f t="shared" si="3"/>
        <v>994.08000000000231</v>
      </c>
      <c r="G243" s="130" t="str">
        <f>Compta!H244</f>
        <v>Oui</v>
      </c>
    </row>
    <row r="244" spans="1:7" ht="15" customHeight="1" x14ac:dyDescent="0.25">
      <c r="A244" s="42">
        <f>Compta!B245</f>
        <v>45854</v>
      </c>
      <c r="B244" s="43">
        <f>Compta!C245</f>
        <v>756800</v>
      </c>
      <c r="C244" s="44" t="str">
        <f>Compta!D245</f>
        <v>Cotisations reçues par CB 25-26</v>
      </c>
      <c r="D244" s="144">
        <f>Compta!E245</f>
        <v>135</v>
      </c>
      <c r="E244" s="144">
        <f>Compta!F245</f>
        <v>0</v>
      </c>
      <c r="F244" s="136">
        <f t="shared" si="3"/>
        <v>5452.1000000000058</v>
      </c>
      <c r="G244" s="130" t="str">
        <f>Compta!H245</f>
        <v>Oui</v>
      </c>
    </row>
    <row r="245" spans="1:7" ht="15" customHeight="1" x14ac:dyDescent="0.25">
      <c r="A245" s="42">
        <f>Compta!B246</f>
        <v>45855</v>
      </c>
      <c r="B245" s="43">
        <f>Compta!C246</f>
        <v>756800</v>
      </c>
      <c r="C245" s="44" t="str">
        <f>Compta!D246</f>
        <v>Cotisations reçues par CB 25-26</v>
      </c>
      <c r="D245" s="144">
        <f>Compta!E246</f>
        <v>202.5</v>
      </c>
      <c r="E245" s="144">
        <f>Compta!F246</f>
        <v>0</v>
      </c>
      <c r="F245" s="136">
        <f t="shared" si="3"/>
        <v>1196.5800000000022</v>
      </c>
      <c r="G245" s="130" t="str">
        <f>Compta!H246</f>
        <v>Oui</v>
      </c>
    </row>
    <row r="246" spans="1:7" ht="15" customHeight="1" x14ac:dyDescent="0.25">
      <c r="A246" s="42">
        <f>Compta!B247</f>
        <v>45856</v>
      </c>
      <c r="B246" s="43">
        <f>Compta!C247</f>
        <v>756800</v>
      </c>
      <c r="C246" s="44" t="str">
        <f>Compta!D247</f>
        <v>Cotisations reçues par CB 25-26</v>
      </c>
      <c r="D246" s="144">
        <f>Compta!E247</f>
        <v>67.5</v>
      </c>
      <c r="E246" s="144">
        <f>Compta!F247</f>
        <v>0</v>
      </c>
      <c r="F246" s="136">
        <f t="shared" si="3"/>
        <v>5519.6000000000058</v>
      </c>
      <c r="G246" s="130" t="str">
        <f>Compta!H247</f>
        <v>Oui</v>
      </c>
    </row>
    <row r="247" spans="1:7" ht="15" customHeight="1" x14ac:dyDescent="0.25">
      <c r="A247" s="42">
        <f>Compta!B248</f>
        <v>45858</v>
      </c>
      <c r="B247" s="43" t="str">
        <f>Compta!C248</f>
        <v>-</v>
      </c>
      <c r="C247" s="44" t="str">
        <f>Compta!D248</f>
        <v>Virement livret vers banque (3 000 €)</v>
      </c>
      <c r="D247" s="144">
        <f>Compta!E248</f>
        <v>0</v>
      </c>
      <c r="E247" s="144">
        <f>Compta!F248</f>
        <v>0</v>
      </c>
      <c r="F247" s="136">
        <f t="shared" si="3"/>
        <v>1196.5800000000022</v>
      </c>
      <c r="G247" s="130" t="str">
        <f>Compta!H248</f>
        <v>Oui</v>
      </c>
    </row>
    <row r="248" spans="1:7" ht="15" customHeight="1" x14ac:dyDescent="0.25">
      <c r="A248" s="42">
        <f>Compta!B249</f>
        <v>45859</v>
      </c>
      <c r="B248" s="43">
        <f>Compta!C249</f>
        <v>756800</v>
      </c>
      <c r="C248" s="44" t="str">
        <f>Compta!D249</f>
        <v>Cotisations reçues par CB 25-26</v>
      </c>
      <c r="D248" s="144">
        <f>Compta!E249</f>
        <v>67.5</v>
      </c>
      <c r="E248" s="144">
        <f>Compta!F249</f>
        <v>0</v>
      </c>
      <c r="F248" s="136">
        <f t="shared" si="3"/>
        <v>5587.1000000000058</v>
      </c>
      <c r="G248" s="130" t="str">
        <f>Compta!H249</f>
        <v>Oui</v>
      </c>
    </row>
    <row r="249" spans="1:7" ht="15" customHeight="1" x14ac:dyDescent="0.25">
      <c r="A249" s="42">
        <f>Compta!B250</f>
        <v>45861</v>
      </c>
      <c r="B249" s="43">
        <f>Compta!C250</f>
        <v>756800</v>
      </c>
      <c r="C249" s="44" t="str">
        <f>Compta!D250</f>
        <v>Cotisations reçues par CB 25-26</v>
      </c>
      <c r="D249" s="144">
        <f>Compta!E250</f>
        <v>67.5</v>
      </c>
      <c r="E249" s="144">
        <f>Compta!F250</f>
        <v>0</v>
      </c>
      <c r="F249" s="136">
        <f t="shared" si="3"/>
        <v>1264.0800000000022</v>
      </c>
      <c r="G249" s="130" t="str">
        <f>Compta!H250</f>
        <v>Oui</v>
      </c>
    </row>
    <row r="250" spans="1:7" ht="15" customHeight="1" x14ac:dyDescent="0.25">
      <c r="A250" s="42">
        <f>Compta!B251</f>
        <v>45862</v>
      </c>
      <c r="B250" s="43">
        <f>Compta!C251</f>
        <v>756800</v>
      </c>
      <c r="C250" s="44" t="str">
        <f>Compta!D251</f>
        <v>Cotisations reçues par CB 25-26</v>
      </c>
      <c r="D250" s="144">
        <f>Compta!E251</f>
        <v>67.5</v>
      </c>
      <c r="E250" s="144">
        <f>Compta!F251</f>
        <v>0</v>
      </c>
      <c r="F250" s="136">
        <f t="shared" si="3"/>
        <v>5654.6000000000058</v>
      </c>
      <c r="G250" s="130" t="str">
        <f>Compta!H251</f>
        <v>Oui</v>
      </c>
    </row>
    <row r="251" spans="1:7" ht="15" customHeight="1" x14ac:dyDescent="0.25">
      <c r="A251" s="42">
        <f>Compta!B252</f>
        <v>45866</v>
      </c>
      <c r="B251" s="43">
        <f>Compta!C252</f>
        <v>626200</v>
      </c>
      <c r="C251" s="44" t="str">
        <f>Compta!D252</f>
        <v>Frais Téléphone Sosh</v>
      </c>
      <c r="D251" s="144">
        <f>Compta!E252</f>
        <v>0</v>
      </c>
      <c r="E251" s="144">
        <f>Compta!F252</f>
        <v>9.99</v>
      </c>
      <c r="F251" s="136">
        <f t="shared" si="3"/>
        <v>1254.0900000000022</v>
      </c>
      <c r="G251" s="130" t="str">
        <f>Compta!H252</f>
        <v>Oui</v>
      </c>
    </row>
    <row r="252" spans="1:7" ht="15" customHeight="1" x14ac:dyDescent="0.25">
      <c r="A252" s="42">
        <f>Compta!B253</f>
        <v>45867</v>
      </c>
      <c r="B252" s="43">
        <f>Compta!C253</f>
        <v>756800</v>
      </c>
      <c r="C252" s="44" t="str">
        <f>Compta!D253</f>
        <v>Cotisations reçues par CB 25-26</v>
      </c>
      <c r="D252" s="144">
        <f>Compta!E253</f>
        <v>67.5</v>
      </c>
      <c r="E252" s="144">
        <f>Compta!F253</f>
        <v>0</v>
      </c>
      <c r="F252" s="136">
        <f t="shared" si="3"/>
        <v>5722.1000000000058</v>
      </c>
      <c r="G252" s="130" t="str">
        <f>Compta!H253</f>
        <v>Oui</v>
      </c>
    </row>
    <row r="253" spans="1:7" ht="15" customHeight="1" x14ac:dyDescent="0.25">
      <c r="A253" s="42">
        <f>Compta!B254</f>
        <v>45869</v>
      </c>
      <c r="B253" s="43">
        <f>Compta!C254</f>
        <v>641200</v>
      </c>
      <c r="C253" s="44" t="str">
        <f>Compta!D254</f>
        <v>Virement salaires Juillet 2025 KOBLAN-HUBERSON</v>
      </c>
      <c r="D253" s="144">
        <f>Compta!E254</f>
        <v>0</v>
      </c>
      <c r="E253" s="144">
        <f>Compta!F254</f>
        <v>543.26</v>
      </c>
      <c r="F253" s="136">
        <f t="shared" si="3"/>
        <v>710.8300000000022</v>
      </c>
      <c r="G253" s="130" t="str">
        <f>Compta!H254</f>
        <v>Oui</v>
      </c>
    </row>
    <row r="254" spans="1:7" ht="15" customHeight="1" x14ac:dyDescent="0.25">
      <c r="A254" s="42">
        <f>Compta!B255</f>
        <v>45869</v>
      </c>
      <c r="B254" s="43">
        <f>Compta!C255</f>
        <v>641200</v>
      </c>
      <c r="C254" s="44" t="str">
        <f>Compta!D255</f>
        <v>Virement salaires Juillet 2025 LE DUC</v>
      </c>
      <c r="D254" s="144">
        <f>Compta!E255</f>
        <v>0</v>
      </c>
      <c r="E254" s="144">
        <f>Compta!F255</f>
        <v>317.69</v>
      </c>
      <c r="F254" s="136">
        <f t="shared" si="3"/>
        <v>5404.4100000000062</v>
      </c>
      <c r="G254" s="130" t="str">
        <f>Compta!H255</f>
        <v>Oui</v>
      </c>
    </row>
    <row r="255" spans="1:7" ht="15" customHeight="1" x14ac:dyDescent="0.25">
      <c r="A255" s="42">
        <f>Compta!B256</f>
        <v>45869</v>
      </c>
      <c r="B255" s="43">
        <f>Compta!C256</f>
        <v>641200</v>
      </c>
      <c r="C255" s="44" t="str">
        <f>Compta!D256</f>
        <v>Virement salaires Juillet 2025 MANSBENDEL</v>
      </c>
      <c r="D255" s="144">
        <f>Compta!E256</f>
        <v>0</v>
      </c>
      <c r="E255" s="144">
        <f>Compta!F256</f>
        <v>174.36</v>
      </c>
      <c r="F255" s="136">
        <f t="shared" si="3"/>
        <v>536.47000000000219</v>
      </c>
      <c r="G255" s="130" t="str">
        <f>Compta!H256</f>
        <v>Oui</v>
      </c>
    </row>
    <row r="256" spans="1:7" ht="15" customHeight="1" x14ac:dyDescent="0.25">
      <c r="A256" s="42">
        <f>Compta!B257</f>
        <v>45869</v>
      </c>
      <c r="B256" s="43">
        <f>Compta!C257</f>
        <v>641200</v>
      </c>
      <c r="C256" s="44" t="str">
        <f>Compta!D257</f>
        <v>Virement salaires Juillet 2025 NGUYEN TUONG</v>
      </c>
      <c r="D256" s="144">
        <f>Compta!E257</f>
        <v>0</v>
      </c>
      <c r="E256" s="144">
        <f>Compta!F257</f>
        <v>503.39</v>
      </c>
      <c r="F256" s="136">
        <f t="shared" si="3"/>
        <v>4901.0200000000059</v>
      </c>
      <c r="G256" s="130" t="str">
        <f>Compta!H257</f>
        <v>Oui</v>
      </c>
    </row>
    <row r="257" spans="1:7" ht="15" customHeight="1" x14ac:dyDescent="0.25">
      <c r="A257" s="42">
        <f>Compta!B258</f>
        <v>45869</v>
      </c>
      <c r="B257" s="43">
        <f>Compta!C258</f>
        <v>641200</v>
      </c>
      <c r="C257" s="44" t="str">
        <f>Compta!D258</f>
        <v>Virement salaires Juillet 2025 PIQUET</v>
      </c>
      <c r="D257" s="144">
        <f>Compta!E258</f>
        <v>0</v>
      </c>
      <c r="E257" s="144">
        <f>Compta!F258</f>
        <v>272.52</v>
      </c>
      <c r="F257" s="136">
        <f t="shared" si="3"/>
        <v>263.95000000000221</v>
      </c>
      <c r="G257" s="130" t="str">
        <f>Compta!H258</f>
        <v>Oui</v>
      </c>
    </row>
    <row r="258" spans="1:7" ht="15" customHeight="1" x14ac:dyDescent="0.25">
      <c r="A258" s="42">
        <f>Compta!B259</f>
        <v>45869</v>
      </c>
      <c r="B258" s="43">
        <f>Compta!C259</f>
        <v>645800</v>
      </c>
      <c r="C258" s="44" t="str">
        <f>Compta!D259</f>
        <v>Charges sociales Juillet 2025</v>
      </c>
      <c r="D258" s="144">
        <f>Compta!E259</f>
        <v>0</v>
      </c>
      <c r="E258" s="144">
        <f>Compta!F259</f>
        <v>720.41</v>
      </c>
      <c r="F258" s="136">
        <f t="shared" si="3"/>
        <v>4180.610000000006</v>
      </c>
      <c r="G258" s="130" t="str">
        <f>Compta!H259</f>
        <v>Oui</v>
      </c>
    </row>
    <row r="259" spans="1:7" ht="15" customHeight="1" x14ac:dyDescent="0.25">
      <c r="A259" s="42">
        <f>Compta!B260</f>
        <v>45869</v>
      </c>
      <c r="B259" s="43">
        <f>Compta!C260</f>
        <v>645700</v>
      </c>
      <c r="C259" s="44" t="str">
        <f>Compta!D260</f>
        <v>Prélèvement à la source Juillet 2025</v>
      </c>
      <c r="D259" s="144">
        <f>Compta!E260</f>
        <v>0</v>
      </c>
      <c r="E259" s="144">
        <f>Compta!F260</f>
        <v>56.62</v>
      </c>
      <c r="F259" s="136">
        <f t="shared" si="3"/>
        <v>207.3300000000022</v>
      </c>
      <c r="G259" s="130" t="str">
        <f>Compta!H260</f>
        <v>Oui</v>
      </c>
    </row>
    <row r="260" spans="1:7" ht="15" customHeight="1" x14ac:dyDescent="0.25">
      <c r="A260" s="42">
        <f>Compta!B261</f>
        <v>45869</v>
      </c>
      <c r="B260" s="43">
        <f>Compta!C261</f>
        <v>622610</v>
      </c>
      <c r="C260" s="44" t="str">
        <f>Compta!D261</f>
        <v>Frais du cabinet comptable par salarié Juillet 2025</v>
      </c>
      <c r="D260" s="144">
        <f>Compta!E261</f>
        <v>0</v>
      </c>
      <c r="E260" s="144">
        <f>Compta!F261</f>
        <v>105</v>
      </c>
      <c r="F260" s="136">
        <f t="shared" si="3"/>
        <v>4075.610000000006</v>
      </c>
      <c r="G260" s="130" t="str">
        <f>Compta!H261</f>
        <v>Oui</v>
      </c>
    </row>
    <row r="261" spans="1:7" ht="15" customHeight="1" x14ac:dyDescent="0.25">
      <c r="A261" s="42">
        <f>Compta!B262</f>
        <v>45869</v>
      </c>
      <c r="B261" s="43">
        <f>Compta!C262</f>
        <v>606400</v>
      </c>
      <c r="C261" s="44" t="str">
        <f>Compta!D262</f>
        <v>Virement - Imprimerie Payard cartes adhérents LPOL GV Fitness saison 2025/2026</v>
      </c>
      <c r="D261" s="144">
        <f>Compta!E262</f>
        <v>0</v>
      </c>
      <c r="E261" s="144">
        <f>Compta!F262</f>
        <v>198.74</v>
      </c>
      <c r="F261" s="136">
        <f t="shared" si="3"/>
        <v>8.5900000000021919</v>
      </c>
      <c r="G261" s="130" t="str">
        <f>Compta!H262</f>
        <v>Oui</v>
      </c>
    </row>
    <row r="262" spans="1:7" ht="15" customHeight="1" x14ac:dyDescent="0.25">
      <c r="A262" s="42">
        <f>Compta!B263</f>
        <v>45870</v>
      </c>
      <c r="B262" s="43">
        <f>Compta!C263</f>
        <v>756800</v>
      </c>
      <c r="C262" s="44" t="str">
        <f>Compta!D263</f>
        <v>Cotisations reçues par CB 25-26</v>
      </c>
      <c r="D262" s="144">
        <f>Compta!E263</f>
        <v>135</v>
      </c>
      <c r="E262" s="144">
        <f>Compta!F263</f>
        <v>0</v>
      </c>
      <c r="F262" s="136">
        <f t="shared" si="3"/>
        <v>4210.610000000006</v>
      </c>
      <c r="G262" s="130" t="str">
        <f>Compta!H263</f>
        <v>Oui</v>
      </c>
    </row>
    <row r="263" spans="1:7" ht="15" customHeight="1" x14ac:dyDescent="0.25">
      <c r="A263" s="42">
        <f>Compta!B264</f>
        <v>45871</v>
      </c>
      <c r="B263" s="43">
        <f>Compta!C264</f>
        <v>622640</v>
      </c>
      <c r="C263" s="44" t="str">
        <f>Compta!D264</f>
        <v>Virement - Remplacement HIIT 2 juillet 25 (1h) + Cours Pilates 2 juillet 25 (1h)</v>
      </c>
      <c r="D263" s="144">
        <f>Compta!E264</f>
        <v>0</v>
      </c>
      <c r="E263" s="144">
        <f>Compta!F264</f>
        <v>80</v>
      </c>
      <c r="F263" s="136">
        <f t="shared" si="3"/>
        <v>-71.409999999997808</v>
      </c>
      <c r="G263" s="130" t="str">
        <f>Compta!H264</f>
        <v>Oui</v>
      </c>
    </row>
    <row r="264" spans="1:7" ht="15" customHeight="1" x14ac:dyDescent="0.25">
      <c r="A264" s="42">
        <f>Compta!B265</f>
        <v>45873</v>
      </c>
      <c r="B264" s="43">
        <f>Compta!C265</f>
        <v>756800</v>
      </c>
      <c r="C264" s="44" t="str">
        <f>Compta!D265</f>
        <v>Cotisations reçues par CB 25-26</v>
      </c>
      <c r="D264" s="144">
        <f>Compta!E265</f>
        <v>67.5</v>
      </c>
      <c r="E264" s="144">
        <f>Compta!F265</f>
        <v>0</v>
      </c>
      <c r="F264" s="136">
        <f t="shared" ref="F264:F327" si="4">+F262+D264-E264</f>
        <v>4278.110000000006</v>
      </c>
      <c r="G264" s="130" t="str">
        <f>Compta!H265</f>
        <v>Oui</v>
      </c>
    </row>
    <row r="265" spans="1:7" ht="15" customHeight="1" x14ac:dyDescent="0.25">
      <c r="A265" s="42">
        <f>Compta!B266</f>
        <v>45873</v>
      </c>
      <c r="B265" s="43">
        <f>Compta!C266</f>
        <v>756800</v>
      </c>
      <c r="C265" s="44" t="str">
        <f>Compta!D266</f>
        <v>Cotisations reçues par CB 25-26</v>
      </c>
      <c r="D265" s="144">
        <f>Compta!E266</f>
        <v>67.5</v>
      </c>
      <c r="E265" s="144">
        <f>Compta!F266</f>
        <v>0</v>
      </c>
      <c r="F265" s="136">
        <f t="shared" si="4"/>
        <v>-3.9099999999978081</v>
      </c>
      <c r="G265" s="130" t="str">
        <f>Compta!H266</f>
        <v>Oui</v>
      </c>
    </row>
    <row r="266" spans="1:7" ht="15" customHeight="1" x14ac:dyDescent="0.25">
      <c r="A266" s="42">
        <f>Compta!B267</f>
        <v>45874</v>
      </c>
      <c r="B266" s="43">
        <f>Compta!C267</f>
        <v>756800</v>
      </c>
      <c r="C266" s="44" t="str">
        <f>Compta!D267</f>
        <v>Cotisations reçues par CB 25-26</v>
      </c>
      <c r="D266" s="144">
        <f>Compta!E267</f>
        <v>202.5</v>
      </c>
      <c r="E266" s="144">
        <f>Compta!F267</f>
        <v>0</v>
      </c>
      <c r="F266" s="136">
        <f t="shared" si="4"/>
        <v>4480.610000000006</v>
      </c>
      <c r="G266" s="130" t="str">
        <f>Compta!H267</f>
        <v>Oui</v>
      </c>
    </row>
    <row r="267" spans="1:7" ht="15" customHeight="1" x14ac:dyDescent="0.25">
      <c r="A267" s="42">
        <f>Compta!B268</f>
        <v>45875</v>
      </c>
      <c r="B267" s="43">
        <f>Compta!C268</f>
        <v>756800</v>
      </c>
      <c r="C267" s="44" t="str">
        <f>Compta!D268</f>
        <v>Cotisations reçues par CB 25-26</v>
      </c>
      <c r="D267" s="144">
        <f>Compta!E268</f>
        <v>135</v>
      </c>
      <c r="E267" s="144">
        <f>Compta!F268</f>
        <v>0</v>
      </c>
      <c r="F267" s="136">
        <f t="shared" si="4"/>
        <v>131.09000000000219</v>
      </c>
      <c r="G267" s="130" t="str">
        <f>Compta!H268</f>
        <v>Oui</v>
      </c>
    </row>
    <row r="268" spans="1:7" ht="15" customHeight="1" x14ac:dyDescent="0.25">
      <c r="A268" s="42">
        <f>Compta!B269</f>
        <v>45877</v>
      </c>
      <c r="B268" s="43">
        <f>Compta!C269</f>
        <v>606400</v>
      </c>
      <c r="C268" s="44" t="str">
        <f>Compta!D269</f>
        <v>Virement - Achat ramette papier, cartouche encre pour impressions et pochettes perforées</v>
      </c>
      <c r="D268" s="144">
        <f>Compta!E269</f>
        <v>0</v>
      </c>
      <c r="E268" s="144">
        <f>Compta!F269</f>
        <v>28.05</v>
      </c>
      <c r="F268" s="136">
        <f t="shared" si="4"/>
        <v>4452.5600000000059</v>
      </c>
      <c r="G268" s="130" t="str">
        <f>Compta!H269</f>
        <v>Oui</v>
      </c>
    </row>
    <row r="269" spans="1:7" ht="15" customHeight="1" x14ac:dyDescent="0.25">
      <c r="A269" s="42">
        <f>Compta!B270</f>
        <v>45880</v>
      </c>
      <c r="B269" s="43">
        <f>Compta!C270</f>
        <v>756800</v>
      </c>
      <c r="C269" s="44" t="str">
        <f>Compta!D270</f>
        <v>Cotisations reçues par CB 25-26</v>
      </c>
      <c r="D269" s="144">
        <f>Compta!E270</f>
        <v>135</v>
      </c>
      <c r="E269" s="144">
        <f>Compta!F270</f>
        <v>0</v>
      </c>
      <c r="F269" s="136">
        <f t="shared" si="4"/>
        <v>266.09000000000219</v>
      </c>
      <c r="G269" s="130" t="str">
        <f>Compta!H270</f>
        <v>Oui</v>
      </c>
    </row>
    <row r="270" spans="1:7" ht="15" customHeight="1" x14ac:dyDescent="0.25">
      <c r="A270" s="42">
        <f>Compta!B271</f>
        <v>45882</v>
      </c>
      <c r="B270" s="43">
        <f>Compta!C271</f>
        <v>756800</v>
      </c>
      <c r="C270" s="44" t="str">
        <f>Compta!D271</f>
        <v>Cotisations reçues par CB 25-26</v>
      </c>
      <c r="D270" s="144">
        <f>Compta!E271</f>
        <v>67.5</v>
      </c>
      <c r="E270" s="144">
        <f>Compta!F271</f>
        <v>0</v>
      </c>
      <c r="F270" s="136">
        <f t="shared" si="4"/>
        <v>4520.0600000000059</v>
      </c>
      <c r="G270" s="130" t="str">
        <f>Compta!H271</f>
        <v>Oui</v>
      </c>
    </row>
    <row r="271" spans="1:7" ht="15" customHeight="1" x14ac:dyDescent="0.25">
      <c r="A271" s="42">
        <f>Compta!B272</f>
        <v>45883</v>
      </c>
      <c r="B271" s="43">
        <f>Compta!C272</f>
        <v>756800</v>
      </c>
      <c r="C271" s="44" t="str">
        <f>Compta!D272</f>
        <v>Cotisations reçues par CB 25-26</v>
      </c>
      <c r="D271" s="144">
        <f>Compta!E272</f>
        <v>67.5</v>
      </c>
      <c r="E271" s="144">
        <f>Compta!F272</f>
        <v>0</v>
      </c>
      <c r="F271" s="136">
        <f t="shared" si="4"/>
        <v>333.59000000000219</v>
      </c>
      <c r="G271" s="130" t="str">
        <f>Compta!H272</f>
        <v>Oui</v>
      </c>
    </row>
    <row r="272" spans="1:7" ht="15" customHeight="1" x14ac:dyDescent="0.25">
      <c r="A272" s="42">
        <f>Compta!B273</f>
        <v>45884</v>
      </c>
      <c r="B272" s="43">
        <f>Compta!C273</f>
        <v>756800</v>
      </c>
      <c r="C272" s="44" t="str">
        <f>Compta!D273</f>
        <v>Cotisations reçues par CB 25-26</v>
      </c>
      <c r="D272" s="144">
        <f>Compta!E273</f>
        <v>67.5</v>
      </c>
      <c r="E272" s="144">
        <f>Compta!F273</f>
        <v>0</v>
      </c>
      <c r="F272" s="136">
        <f t="shared" si="4"/>
        <v>4587.5600000000059</v>
      </c>
      <c r="G272" s="130" t="str">
        <f>Compta!H273</f>
        <v>Oui</v>
      </c>
    </row>
    <row r="273" spans="1:7" ht="15" customHeight="1" x14ac:dyDescent="0.25">
      <c r="A273" s="42">
        <f>Compta!B274</f>
        <v>45887</v>
      </c>
      <c r="B273" s="43">
        <f>Compta!C274</f>
        <v>756800</v>
      </c>
      <c r="C273" s="44" t="str">
        <f>Compta!D274</f>
        <v>Cotisations reçues par CB 25-26</v>
      </c>
      <c r="D273" s="144">
        <f>Compta!E274</f>
        <v>67.5</v>
      </c>
      <c r="E273" s="144">
        <f>Compta!F274</f>
        <v>0</v>
      </c>
      <c r="F273" s="136">
        <f t="shared" si="4"/>
        <v>401.09000000000219</v>
      </c>
      <c r="G273" s="130" t="str">
        <f>Compta!H274</f>
        <v>Oui</v>
      </c>
    </row>
    <row r="274" spans="1:7" ht="15" customHeight="1" x14ac:dyDescent="0.25">
      <c r="A274" s="42">
        <f>Compta!B275</f>
        <v>45887</v>
      </c>
      <c r="B274" s="43">
        <f>Compta!C275</f>
        <v>756800</v>
      </c>
      <c r="C274" s="44" t="str">
        <f>Compta!D275</f>
        <v>Cotisations reçues par CB 25-26</v>
      </c>
      <c r="D274" s="144">
        <f>Compta!E275</f>
        <v>202.5</v>
      </c>
      <c r="E274" s="144">
        <f>Compta!F275</f>
        <v>0</v>
      </c>
      <c r="F274" s="136">
        <f t="shared" si="4"/>
        <v>4790.0600000000059</v>
      </c>
      <c r="G274" s="130" t="str">
        <f>Compta!H275</f>
        <v>Oui</v>
      </c>
    </row>
    <row r="275" spans="1:7" ht="15" customHeight="1" x14ac:dyDescent="0.25">
      <c r="A275" s="42">
        <f>Compta!B276</f>
        <v>45887</v>
      </c>
      <c r="B275" s="43">
        <f>Compta!C276</f>
        <v>756800</v>
      </c>
      <c r="C275" s="44" t="str">
        <f>Compta!D276</f>
        <v>Cotisations reçues par CB 25-26</v>
      </c>
      <c r="D275" s="144">
        <f>Compta!E276</f>
        <v>202.5</v>
      </c>
      <c r="E275" s="144">
        <f>Compta!F276</f>
        <v>0</v>
      </c>
      <c r="F275" s="136">
        <f t="shared" si="4"/>
        <v>603.59000000000219</v>
      </c>
      <c r="G275" s="130" t="str">
        <f>Compta!H276</f>
        <v>Oui</v>
      </c>
    </row>
    <row r="276" spans="1:7" ht="15" customHeight="1" x14ac:dyDescent="0.25">
      <c r="A276" s="42">
        <f>Compta!B277</f>
        <v>45888</v>
      </c>
      <c r="B276" s="43">
        <f>Compta!C277</f>
        <v>756800</v>
      </c>
      <c r="C276" s="44" t="str">
        <f>Compta!D277</f>
        <v>Cotisations reçues par CB 25-26</v>
      </c>
      <c r="D276" s="144">
        <f>Compta!E277</f>
        <v>67.5</v>
      </c>
      <c r="E276" s="144">
        <f>Compta!F277</f>
        <v>0</v>
      </c>
      <c r="F276" s="136">
        <f t="shared" si="4"/>
        <v>4857.5600000000059</v>
      </c>
      <c r="G276" s="130" t="str">
        <f>Compta!H277</f>
        <v>Oui</v>
      </c>
    </row>
    <row r="277" spans="1:7" ht="15" customHeight="1" x14ac:dyDescent="0.25">
      <c r="A277" s="42">
        <f>Compta!B278</f>
        <v>45888</v>
      </c>
      <c r="B277" s="43" t="str">
        <f>Compta!C278</f>
        <v>-</v>
      </c>
      <c r="C277" s="44" t="str">
        <f>Compta!D278</f>
        <v>Virement livret vers banque (2 700 €)</v>
      </c>
      <c r="D277" s="144">
        <f>Compta!E278</f>
        <v>0</v>
      </c>
      <c r="E277" s="144">
        <f>Compta!F278</f>
        <v>0</v>
      </c>
      <c r="F277" s="136">
        <f t="shared" si="4"/>
        <v>603.59000000000219</v>
      </c>
      <c r="G277" s="130" t="str">
        <f>Compta!H278</f>
        <v>Oui</v>
      </c>
    </row>
    <row r="278" spans="1:7" ht="15" customHeight="1" x14ac:dyDescent="0.25">
      <c r="A278" s="42">
        <f>Compta!B279</f>
        <v>45889</v>
      </c>
      <c r="B278" s="43">
        <f>Compta!C279</f>
        <v>756800</v>
      </c>
      <c r="C278" s="44" t="str">
        <f>Compta!D279</f>
        <v xml:space="preserve">Cotisations reçues par CB 25-26 (remboursement </v>
      </c>
      <c r="D278" s="144">
        <f>Compta!E279</f>
        <v>-67.5</v>
      </c>
      <c r="E278" s="144">
        <f>Compta!F279</f>
        <v>0</v>
      </c>
      <c r="F278" s="136">
        <f t="shared" si="4"/>
        <v>4790.0600000000059</v>
      </c>
      <c r="G278" s="130" t="str">
        <f>Compta!H279</f>
        <v>Oui</v>
      </c>
    </row>
    <row r="279" spans="1:7" ht="15" customHeight="1" x14ac:dyDescent="0.25">
      <c r="A279" s="42">
        <f>Compta!B280</f>
        <v>45890</v>
      </c>
      <c r="B279" s="43">
        <f>Compta!C280</f>
        <v>756800</v>
      </c>
      <c r="C279" s="44" t="str">
        <f>Compta!D280</f>
        <v>Cotisations reçues par CB 25-26</v>
      </c>
      <c r="D279" s="144">
        <f>Compta!E280</f>
        <v>67.5</v>
      </c>
      <c r="E279" s="144">
        <f>Compta!F280</f>
        <v>0</v>
      </c>
      <c r="F279" s="136">
        <f t="shared" si="4"/>
        <v>671.09000000000219</v>
      </c>
      <c r="G279" s="130" t="str">
        <f>Compta!H280</f>
        <v>Oui</v>
      </c>
    </row>
    <row r="280" spans="1:7" ht="15" customHeight="1" x14ac:dyDescent="0.25">
      <c r="A280" s="42">
        <f>Compta!B281</f>
        <v>45891</v>
      </c>
      <c r="B280" s="43">
        <f>Compta!C281</f>
        <v>756800</v>
      </c>
      <c r="C280" s="44" t="str">
        <f>Compta!D281</f>
        <v>Cotisations reçues par CB 25-26</v>
      </c>
      <c r="D280" s="144">
        <f>Compta!E281</f>
        <v>67.5</v>
      </c>
      <c r="E280" s="144">
        <f>Compta!F281</f>
        <v>0</v>
      </c>
      <c r="F280" s="136">
        <f t="shared" si="4"/>
        <v>4857.5600000000059</v>
      </c>
      <c r="G280" s="130" t="str">
        <f>Compta!H281</f>
        <v>Oui</v>
      </c>
    </row>
    <row r="281" spans="1:7" ht="15" customHeight="1" x14ac:dyDescent="0.25">
      <c r="A281" s="42">
        <f>Compta!B282</f>
        <v>45894</v>
      </c>
      <c r="B281" s="43">
        <f>Compta!C282</f>
        <v>756800</v>
      </c>
      <c r="C281" s="44" t="str">
        <f>Compta!D282</f>
        <v>Cotisations reçues par CB 25-26</v>
      </c>
      <c r="D281" s="144">
        <f>Compta!E282</f>
        <v>135</v>
      </c>
      <c r="E281" s="144">
        <f>Compta!F282</f>
        <v>0</v>
      </c>
      <c r="F281" s="136">
        <f t="shared" si="4"/>
        <v>806.09000000000219</v>
      </c>
      <c r="G281" s="130" t="str">
        <f>Compta!H282</f>
        <v>Oui</v>
      </c>
    </row>
    <row r="282" spans="1:7" ht="15" customHeight="1" x14ac:dyDescent="0.25">
      <c r="A282" s="42">
        <f>Compta!B283</f>
        <v>45894</v>
      </c>
      <c r="B282" s="43">
        <f>Compta!C283</f>
        <v>756800</v>
      </c>
      <c r="C282" s="44" t="str">
        <f>Compta!D283</f>
        <v>Cotisations reçues par CB 25-26</v>
      </c>
      <c r="D282" s="144">
        <f>Compta!E283</f>
        <v>67.5</v>
      </c>
      <c r="E282" s="144">
        <f>Compta!F283</f>
        <v>0</v>
      </c>
      <c r="F282" s="136">
        <f t="shared" si="4"/>
        <v>4925.0600000000059</v>
      </c>
      <c r="G282" s="130" t="str">
        <f>Compta!H283</f>
        <v>Oui</v>
      </c>
    </row>
    <row r="283" spans="1:7" ht="15" customHeight="1" x14ac:dyDescent="0.25">
      <c r="A283" s="42">
        <f>Compta!B284</f>
        <v>45894</v>
      </c>
      <c r="B283" s="43">
        <f>Compta!C284</f>
        <v>626200</v>
      </c>
      <c r="C283" s="44" t="str">
        <f>Compta!D284</f>
        <v>Frais Téléphone Sosh</v>
      </c>
      <c r="D283" s="144">
        <f>Compta!E284</f>
        <v>0</v>
      </c>
      <c r="E283" s="144">
        <f>Compta!F284</f>
        <v>9.99</v>
      </c>
      <c r="F283" s="136">
        <f t="shared" si="4"/>
        <v>796.10000000000218</v>
      </c>
      <c r="G283" s="130" t="str">
        <f>Compta!H284</f>
        <v>Oui</v>
      </c>
    </row>
    <row r="284" spans="1:7" ht="15" customHeight="1" x14ac:dyDescent="0.25">
      <c r="A284" s="42">
        <f>Compta!B285</f>
        <v>45895</v>
      </c>
      <c r="B284" s="43">
        <f>Compta!C285</f>
        <v>756800</v>
      </c>
      <c r="C284" s="44" t="str">
        <f>Compta!D285</f>
        <v>Cotisations reçues par CB 25-26</v>
      </c>
      <c r="D284" s="144">
        <f>Compta!E285</f>
        <v>67.5</v>
      </c>
      <c r="E284" s="144">
        <f>Compta!F285</f>
        <v>0</v>
      </c>
      <c r="F284" s="136">
        <f t="shared" si="4"/>
        <v>4992.5600000000059</v>
      </c>
      <c r="G284" s="130" t="str">
        <f>Compta!H285</f>
        <v>Oui</v>
      </c>
    </row>
    <row r="285" spans="1:7" ht="15" customHeight="1" x14ac:dyDescent="0.25">
      <c r="A285" s="42">
        <f>Compta!B286</f>
        <v>45896</v>
      </c>
      <c r="B285" s="43">
        <f>Compta!C286</f>
        <v>756800</v>
      </c>
      <c r="C285" s="44" t="str">
        <f>Compta!D286</f>
        <v>Cotisations reçues par CB 25-26</v>
      </c>
      <c r="D285" s="144">
        <f>Compta!E286</f>
        <v>67.5</v>
      </c>
      <c r="E285" s="144">
        <f>Compta!F286</f>
        <v>0</v>
      </c>
      <c r="F285" s="136">
        <f t="shared" si="4"/>
        <v>863.60000000000218</v>
      </c>
      <c r="G285" s="130" t="str">
        <f>Compta!H286</f>
        <v>Oui</v>
      </c>
    </row>
    <row r="286" spans="1:7" ht="15" customHeight="1" x14ac:dyDescent="0.25">
      <c r="A286" s="42">
        <f>Compta!B287</f>
        <v>45896</v>
      </c>
      <c r="B286" s="43">
        <f>Compta!C287</f>
        <v>626100</v>
      </c>
      <c r="C286" s="44" t="str">
        <f>Compta!D287</f>
        <v>Virement - Frais d'envoi RAR pour fin CDI Cécile MANSBENDEL</v>
      </c>
      <c r="D286" s="144">
        <f>Compta!E287</f>
        <v>0</v>
      </c>
      <c r="E286" s="144">
        <f>Compta!F287</f>
        <v>8.8000000000000007</v>
      </c>
      <c r="F286" s="136">
        <f t="shared" si="4"/>
        <v>4983.7600000000057</v>
      </c>
      <c r="G286" s="130" t="str">
        <f>Compta!H287</f>
        <v>Oui</v>
      </c>
    </row>
    <row r="287" spans="1:7" ht="15" customHeight="1" x14ac:dyDescent="0.25">
      <c r="A287" s="42">
        <f>Compta!B288</f>
        <v>45897</v>
      </c>
      <c r="B287" s="43">
        <f>Compta!C288</f>
        <v>756800</v>
      </c>
      <c r="C287" s="44" t="str">
        <f>Compta!D288</f>
        <v>Cotisations reçues par CB 25-26</v>
      </c>
      <c r="D287" s="144">
        <f>Compta!E288</f>
        <v>67.5</v>
      </c>
      <c r="E287" s="144">
        <f>Compta!F288</f>
        <v>0</v>
      </c>
      <c r="F287" s="136">
        <f t="shared" si="4"/>
        <v>931.10000000000218</v>
      </c>
      <c r="G287" s="130" t="str">
        <f>Compta!H288</f>
        <v>Oui</v>
      </c>
    </row>
    <row r="288" spans="1:7" ht="15" customHeight="1" x14ac:dyDescent="0.25">
      <c r="A288" s="42">
        <f>Compta!B289</f>
        <v>45898</v>
      </c>
      <c r="B288" s="43">
        <f>Compta!C289</f>
        <v>756800</v>
      </c>
      <c r="C288" s="44" t="str">
        <f>Compta!D289</f>
        <v>Cotisations reçues par CB 25-26</v>
      </c>
      <c r="D288" s="144">
        <f>Compta!E289</f>
        <v>135</v>
      </c>
      <c r="E288" s="144">
        <f>Compta!F289</f>
        <v>0</v>
      </c>
      <c r="F288" s="136">
        <f t="shared" si="4"/>
        <v>5118.7600000000057</v>
      </c>
      <c r="G288" s="130" t="str">
        <f>Compta!H289</f>
        <v>Oui</v>
      </c>
    </row>
    <row r="289" spans="1:7" ht="15" customHeight="1" x14ac:dyDescent="0.25">
      <c r="A289" s="42">
        <f>Compta!B290</f>
        <v>45900</v>
      </c>
      <c r="B289" s="43">
        <f>Compta!C290</f>
        <v>641200</v>
      </c>
      <c r="C289" s="44" t="str">
        <f>Compta!D290</f>
        <v>Virement salaires Août 2025 KOBLAN-HUBERSON</v>
      </c>
      <c r="D289" s="144">
        <f>Compta!E290</f>
        <v>0</v>
      </c>
      <c r="E289" s="144">
        <f>Compta!F290</f>
        <v>543.26</v>
      </c>
      <c r="F289" s="136">
        <f t="shared" si="4"/>
        <v>387.84000000000219</v>
      </c>
      <c r="G289" s="130" t="str">
        <f>Compta!H290</f>
        <v>Oui</v>
      </c>
    </row>
    <row r="290" spans="1:7" ht="15" customHeight="1" x14ac:dyDescent="0.25">
      <c r="A290" s="42">
        <f>Compta!B291</f>
        <v>45900</v>
      </c>
      <c r="B290" s="43">
        <f>Compta!C291</f>
        <v>641200</v>
      </c>
      <c r="C290" s="44" t="str">
        <f>Compta!D291</f>
        <v>Virement salaires Août 2025 LE DUC</v>
      </c>
      <c r="D290" s="144">
        <f>Compta!E291</f>
        <v>0</v>
      </c>
      <c r="E290" s="144">
        <f>Compta!F291</f>
        <v>317.69</v>
      </c>
      <c r="F290" s="136">
        <f t="shared" si="4"/>
        <v>4801.0700000000061</v>
      </c>
      <c r="G290" s="130" t="str">
        <f>Compta!H291</f>
        <v>Oui</v>
      </c>
    </row>
    <row r="291" spans="1:7" ht="15" customHeight="1" x14ac:dyDescent="0.25">
      <c r="A291" s="42">
        <f>Compta!B292</f>
        <v>45900</v>
      </c>
      <c r="B291" s="43">
        <f>Compta!C292</f>
        <v>641200</v>
      </c>
      <c r="C291" s="44" t="str">
        <f>Compta!D292</f>
        <v>Virement salaires Août 2025 MANSBENDEL</v>
      </c>
      <c r="D291" s="144">
        <f>Compta!E292</f>
        <v>0</v>
      </c>
      <c r="E291" s="144">
        <f>Compta!F292</f>
        <v>174.36</v>
      </c>
      <c r="F291" s="136">
        <f t="shared" si="4"/>
        <v>213.48000000000218</v>
      </c>
      <c r="G291" s="130" t="str">
        <f>Compta!H292</f>
        <v>Oui</v>
      </c>
    </row>
    <row r="292" spans="1:7" ht="15" customHeight="1" x14ac:dyDescent="0.25">
      <c r="A292" s="42">
        <f>Compta!B293</f>
        <v>45900</v>
      </c>
      <c r="B292" s="43">
        <f>Compta!C293</f>
        <v>641200</v>
      </c>
      <c r="C292" s="44" t="str">
        <f>Compta!D293</f>
        <v>Virement salaires Août 2025 NGUYEN TUONG</v>
      </c>
      <c r="D292" s="144">
        <f>Compta!E293</f>
        <v>0</v>
      </c>
      <c r="E292" s="144">
        <f>Compta!F293</f>
        <v>503.39</v>
      </c>
      <c r="F292" s="136">
        <f t="shared" si="4"/>
        <v>4297.6800000000057</v>
      </c>
      <c r="G292" s="130" t="str">
        <f>Compta!H293</f>
        <v>Oui</v>
      </c>
    </row>
    <row r="293" spans="1:7" ht="15" customHeight="1" x14ac:dyDescent="0.25">
      <c r="A293" s="42">
        <f>Compta!B294</f>
        <v>45900</v>
      </c>
      <c r="B293" s="43">
        <f>Compta!C294</f>
        <v>641200</v>
      </c>
      <c r="C293" s="44" t="str">
        <f>Compta!D294</f>
        <v>Virement salaires Août 2025 PIQUET</v>
      </c>
      <c r="D293" s="144">
        <f>Compta!E294</f>
        <v>0</v>
      </c>
      <c r="E293" s="144">
        <f>Compta!F294</f>
        <v>398.75</v>
      </c>
      <c r="F293" s="136">
        <f t="shared" si="4"/>
        <v>-185.26999999999782</v>
      </c>
      <c r="G293" s="130" t="str">
        <f>Compta!H294</f>
        <v>Oui</v>
      </c>
    </row>
    <row r="294" spans="1:7" ht="15" customHeight="1" x14ac:dyDescent="0.25">
      <c r="A294" s="42">
        <f>Compta!B295</f>
        <v>45900</v>
      </c>
      <c r="B294" s="43">
        <f>Compta!C295</f>
        <v>645800</v>
      </c>
      <c r="C294" s="44" t="str">
        <f>Compta!D295</f>
        <v>Charges sociales Août 2025</v>
      </c>
      <c r="D294" s="144">
        <f>Compta!E295</f>
        <v>0</v>
      </c>
      <c r="E294" s="144">
        <f>Compta!F295</f>
        <v>757.41</v>
      </c>
      <c r="F294" s="136">
        <f t="shared" si="4"/>
        <v>3540.2700000000059</v>
      </c>
      <c r="G294" s="130" t="str">
        <f>Compta!H295</f>
        <v>Oui</v>
      </c>
    </row>
    <row r="295" spans="1:7" ht="15" customHeight="1" x14ac:dyDescent="0.25">
      <c r="A295" s="42">
        <f>Compta!B296</f>
        <v>45900</v>
      </c>
      <c r="B295" s="43">
        <f>Compta!C296</f>
        <v>645700</v>
      </c>
      <c r="C295" s="44" t="str">
        <f>Compta!D296</f>
        <v>Prélèvement à la source Août 2025</v>
      </c>
      <c r="D295" s="144">
        <f>Compta!E296</f>
        <v>0</v>
      </c>
      <c r="E295" s="144">
        <f>Compta!F296</f>
        <v>68.8</v>
      </c>
      <c r="F295" s="136">
        <f t="shared" si="4"/>
        <v>-254.06999999999783</v>
      </c>
      <c r="G295" s="130" t="str">
        <f>Compta!H296</f>
        <v>Oui</v>
      </c>
    </row>
    <row r="296" spans="1:7" ht="15" customHeight="1" x14ac:dyDescent="0.25">
      <c r="A296" s="42">
        <f>Compta!B297</f>
        <v>45900</v>
      </c>
      <c r="B296" s="43">
        <f>Compta!C297</f>
        <v>622610</v>
      </c>
      <c r="C296" s="44" t="str">
        <f>Compta!D297</f>
        <v>Frais du cabinet comptable par salarié Août 2025</v>
      </c>
      <c r="D296" s="144">
        <f>Compta!E297</f>
        <v>0</v>
      </c>
      <c r="E296" s="144">
        <f>Compta!F297</f>
        <v>105</v>
      </c>
      <c r="F296" s="136">
        <f t="shared" si="4"/>
        <v>3435.2700000000059</v>
      </c>
      <c r="G296" s="130" t="str">
        <f>Compta!H297</f>
        <v>Oui</v>
      </c>
    </row>
    <row r="297" spans="1:7" ht="15" customHeight="1" x14ac:dyDescent="0.25">
      <c r="A297" s="42">
        <f>Compta!B298</f>
        <v>45900</v>
      </c>
      <c r="B297" s="43">
        <f>Compta!C298</f>
        <v>622610</v>
      </c>
      <c r="C297" s="44" t="str">
        <f>Compta!D298</f>
        <v>Frais du cabinet comptable Août 2025 pour fin contrat de Cécile MANSBENDEL</v>
      </c>
      <c r="D297" s="144">
        <f>Compta!E298</f>
        <v>0</v>
      </c>
      <c r="E297" s="144">
        <f>Compta!F298</f>
        <v>60</v>
      </c>
      <c r="F297" s="136">
        <f t="shared" si="4"/>
        <v>-314.06999999999783</v>
      </c>
      <c r="G297" s="130" t="str">
        <f>Compta!H298</f>
        <v>Oui</v>
      </c>
    </row>
    <row r="298" spans="1:7" ht="15" customHeight="1" x14ac:dyDescent="0.25">
      <c r="A298" s="42">
        <f>Compta!B299</f>
        <v>45900</v>
      </c>
      <c r="B298" s="43">
        <f>Compta!C299</f>
        <v>756800</v>
      </c>
      <c r="C298" s="44" t="str">
        <f>Compta!D299</f>
        <v>Produits constatés d'avance - Cotisations reçues par CB 25-26</v>
      </c>
      <c r="D298" s="144">
        <f>Compta!E299</f>
        <v>-2767.5</v>
      </c>
      <c r="E298" s="144">
        <f>Compta!F299</f>
        <v>0</v>
      </c>
      <c r="F298" s="136">
        <f t="shared" si="4"/>
        <v>667.77000000000589</v>
      </c>
      <c r="G298" s="130">
        <f>Compta!H299</f>
        <v>0</v>
      </c>
    </row>
    <row r="299" spans="1:7" ht="15" customHeight="1" x14ac:dyDescent="0.25">
      <c r="A299" s="42">
        <f>Compta!B300</f>
        <v>45900</v>
      </c>
      <c r="B299" s="43">
        <f>Compta!C300</f>
        <v>606400</v>
      </c>
      <c r="C299" s="44" t="str">
        <f>Compta!D300</f>
        <v>Charges constatées d'avance - Cartes adhérents LPOL GV Fitness saison 2025/2026</v>
      </c>
      <c r="D299" s="144">
        <f>Compta!E300</f>
        <v>0</v>
      </c>
      <c r="E299" s="144">
        <f>Compta!F300</f>
        <v>-198.74</v>
      </c>
      <c r="F299" s="136">
        <f t="shared" si="4"/>
        <v>-115.32999999999782</v>
      </c>
      <c r="G299" s="130">
        <f>Compta!H300</f>
        <v>0</v>
      </c>
    </row>
    <row r="300" spans="1:7" ht="15" customHeight="1" x14ac:dyDescent="0.25">
      <c r="A300" s="42">
        <f>Compta!B301</f>
        <v>0</v>
      </c>
      <c r="B300" s="43">
        <f>Compta!C301</f>
        <v>0</v>
      </c>
      <c r="C300" s="44">
        <f>Compta!D301</f>
        <v>0</v>
      </c>
      <c r="D300" s="144">
        <f>Compta!E301</f>
        <v>0</v>
      </c>
      <c r="E300" s="144">
        <f>Compta!F301</f>
        <v>0</v>
      </c>
      <c r="F300" s="136">
        <f t="shared" si="4"/>
        <v>667.77000000000589</v>
      </c>
      <c r="G300" s="130">
        <f>Compta!H301</f>
        <v>0</v>
      </c>
    </row>
    <row r="301" spans="1:7" ht="15" customHeight="1" x14ac:dyDescent="0.25">
      <c r="A301" s="42">
        <f>Compta!B302</f>
        <v>0</v>
      </c>
      <c r="B301" s="43">
        <f>Compta!C302</f>
        <v>0</v>
      </c>
      <c r="C301" s="44">
        <f>Compta!D302</f>
        <v>0</v>
      </c>
      <c r="D301" s="144">
        <f>Compta!E302</f>
        <v>0</v>
      </c>
      <c r="E301" s="144">
        <f>Compta!F302</f>
        <v>0</v>
      </c>
      <c r="F301" s="136">
        <f t="shared" si="4"/>
        <v>-115.32999999999782</v>
      </c>
      <c r="G301" s="130">
        <f>Compta!H302</f>
        <v>0</v>
      </c>
    </row>
    <row r="302" spans="1:7" ht="15" customHeight="1" x14ac:dyDescent="0.25">
      <c r="A302" s="42">
        <f>Compta!B303</f>
        <v>0</v>
      </c>
      <c r="B302" s="43">
        <f>Compta!C303</f>
        <v>0</v>
      </c>
      <c r="C302" s="44">
        <f>Compta!D303</f>
        <v>0</v>
      </c>
      <c r="D302" s="144">
        <f>Compta!E303</f>
        <v>0</v>
      </c>
      <c r="E302" s="144">
        <f>Compta!F303</f>
        <v>0</v>
      </c>
      <c r="F302" s="136">
        <f t="shared" si="4"/>
        <v>667.77000000000589</v>
      </c>
      <c r="G302" s="130">
        <f>Compta!H303</f>
        <v>0</v>
      </c>
    </row>
    <row r="303" spans="1:7" ht="15" customHeight="1" x14ac:dyDescent="0.25">
      <c r="A303" s="42">
        <f>Compta!B304</f>
        <v>0</v>
      </c>
      <c r="B303" s="43">
        <f>Compta!C304</f>
        <v>0</v>
      </c>
      <c r="C303" s="44">
        <f>Compta!D304</f>
        <v>0</v>
      </c>
      <c r="D303" s="144">
        <f>Compta!E304</f>
        <v>0</v>
      </c>
      <c r="E303" s="144">
        <f>Compta!F304</f>
        <v>0</v>
      </c>
      <c r="F303" s="136">
        <f t="shared" si="4"/>
        <v>-115.32999999999782</v>
      </c>
      <c r="G303" s="130">
        <f>Compta!H304</f>
        <v>0</v>
      </c>
    </row>
    <row r="304" spans="1:7" ht="15" customHeight="1" x14ac:dyDescent="0.25">
      <c r="A304" s="42">
        <f>Compta!B305</f>
        <v>0</v>
      </c>
      <c r="B304" s="43">
        <f>Compta!C305</f>
        <v>0</v>
      </c>
      <c r="C304" s="44">
        <f>Compta!D305</f>
        <v>0</v>
      </c>
      <c r="D304" s="144">
        <f>Compta!E305</f>
        <v>0</v>
      </c>
      <c r="E304" s="144">
        <f>Compta!F305</f>
        <v>0</v>
      </c>
      <c r="F304" s="136">
        <f t="shared" si="4"/>
        <v>667.77000000000589</v>
      </c>
      <c r="G304" s="130">
        <f>Compta!H305</f>
        <v>0</v>
      </c>
    </row>
    <row r="305" spans="1:7" ht="15" customHeight="1" x14ac:dyDescent="0.25">
      <c r="A305" s="42">
        <f>Compta!B306</f>
        <v>0</v>
      </c>
      <c r="B305" s="43">
        <f>Compta!C306</f>
        <v>0</v>
      </c>
      <c r="C305" s="44">
        <f>Compta!D306</f>
        <v>0</v>
      </c>
      <c r="D305" s="144">
        <f>Compta!E306</f>
        <v>0</v>
      </c>
      <c r="E305" s="144">
        <f>Compta!F306</f>
        <v>0</v>
      </c>
      <c r="F305" s="136">
        <f t="shared" si="4"/>
        <v>-115.32999999999782</v>
      </c>
      <c r="G305" s="130">
        <f>Compta!H306</f>
        <v>0</v>
      </c>
    </row>
    <row r="306" spans="1:7" ht="15" customHeight="1" x14ac:dyDescent="0.25">
      <c r="A306" s="42">
        <f>Compta!B307</f>
        <v>0</v>
      </c>
      <c r="B306" s="43">
        <f>Compta!C307</f>
        <v>0</v>
      </c>
      <c r="C306" s="44">
        <f>Compta!D307</f>
        <v>0</v>
      </c>
      <c r="D306" s="144">
        <f>Compta!E307</f>
        <v>0</v>
      </c>
      <c r="E306" s="144">
        <f>Compta!F307</f>
        <v>0</v>
      </c>
      <c r="F306" s="136">
        <f t="shared" si="4"/>
        <v>667.77000000000589</v>
      </c>
      <c r="G306" s="130">
        <f>Compta!H307</f>
        <v>0</v>
      </c>
    </row>
    <row r="307" spans="1:7" ht="15" customHeight="1" x14ac:dyDescent="0.25">
      <c r="A307" s="42">
        <f>Compta!B308</f>
        <v>0</v>
      </c>
      <c r="B307" s="43">
        <f>Compta!C308</f>
        <v>0</v>
      </c>
      <c r="C307" s="44">
        <f>Compta!D308</f>
        <v>0</v>
      </c>
      <c r="D307" s="144">
        <f>Compta!E308</f>
        <v>0</v>
      </c>
      <c r="E307" s="144">
        <f>Compta!F308</f>
        <v>0</v>
      </c>
      <c r="F307" s="136">
        <f t="shared" si="4"/>
        <v>-115.32999999999782</v>
      </c>
      <c r="G307" s="130">
        <f>Compta!H308</f>
        <v>0</v>
      </c>
    </row>
    <row r="308" spans="1:7" ht="15" customHeight="1" x14ac:dyDescent="0.25">
      <c r="A308" s="42">
        <f>Compta!B309</f>
        <v>0</v>
      </c>
      <c r="B308" s="43">
        <f>Compta!C309</f>
        <v>0</v>
      </c>
      <c r="C308" s="44">
        <f>Compta!D309</f>
        <v>0</v>
      </c>
      <c r="D308" s="144">
        <f>Compta!E309</f>
        <v>0</v>
      </c>
      <c r="E308" s="144">
        <f>Compta!F309</f>
        <v>0</v>
      </c>
      <c r="F308" s="136">
        <f t="shared" si="4"/>
        <v>667.77000000000589</v>
      </c>
      <c r="G308" s="130">
        <f>Compta!H309</f>
        <v>0</v>
      </c>
    </row>
    <row r="309" spans="1:7" ht="15" customHeight="1" x14ac:dyDescent="0.25">
      <c r="A309" s="42">
        <f>Compta!B310</f>
        <v>0</v>
      </c>
      <c r="B309" s="43">
        <f>Compta!C310</f>
        <v>0</v>
      </c>
      <c r="C309" s="44">
        <f>Compta!D310</f>
        <v>0</v>
      </c>
      <c r="D309" s="144">
        <f>Compta!E310</f>
        <v>0</v>
      </c>
      <c r="E309" s="144">
        <f>Compta!F310</f>
        <v>0</v>
      </c>
      <c r="F309" s="136">
        <f t="shared" si="4"/>
        <v>-115.32999999999782</v>
      </c>
      <c r="G309" s="130">
        <f>Compta!H310</f>
        <v>0</v>
      </c>
    </row>
    <row r="310" spans="1:7" ht="15" customHeight="1" x14ac:dyDescent="0.25">
      <c r="A310" s="42">
        <f>Compta!B311</f>
        <v>0</v>
      </c>
      <c r="B310" s="43">
        <f>Compta!C311</f>
        <v>0</v>
      </c>
      <c r="C310" s="44">
        <f>Compta!D311</f>
        <v>0</v>
      </c>
      <c r="D310" s="144">
        <f>Compta!E311</f>
        <v>0</v>
      </c>
      <c r="E310" s="144">
        <f>Compta!F311</f>
        <v>0</v>
      </c>
      <c r="F310" s="136">
        <f t="shared" si="4"/>
        <v>667.77000000000589</v>
      </c>
      <c r="G310" s="130">
        <f>Compta!H311</f>
        <v>0</v>
      </c>
    </row>
    <row r="311" spans="1:7" ht="15" customHeight="1" x14ac:dyDescent="0.25">
      <c r="A311" s="42">
        <f>Compta!B312</f>
        <v>0</v>
      </c>
      <c r="B311" s="43">
        <f>Compta!C312</f>
        <v>0</v>
      </c>
      <c r="C311" s="44">
        <f>Compta!D312</f>
        <v>0</v>
      </c>
      <c r="D311" s="144">
        <f>Compta!E312</f>
        <v>0</v>
      </c>
      <c r="E311" s="144">
        <f>Compta!F312</f>
        <v>0</v>
      </c>
      <c r="F311" s="136">
        <f t="shared" si="4"/>
        <v>-115.32999999999782</v>
      </c>
      <c r="G311" s="130">
        <f>Compta!H312</f>
        <v>0</v>
      </c>
    </row>
    <row r="312" spans="1:7" ht="15" customHeight="1" x14ac:dyDescent="0.25">
      <c r="A312" s="42">
        <f>Compta!B313</f>
        <v>0</v>
      </c>
      <c r="B312" s="43">
        <f>Compta!C313</f>
        <v>0</v>
      </c>
      <c r="C312" s="44">
        <f>Compta!D313</f>
        <v>0</v>
      </c>
      <c r="D312" s="144">
        <f>Compta!E313</f>
        <v>0</v>
      </c>
      <c r="E312" s="144">
        <f>Compta!F313</f>
        <v>0</v>
      </c>
      <c r="F312" s="136">
        <f t="shared" si="4"/>
        <v>667.77000000000589</v>
      </c>
      <c r="G312" s="130">
        <f>Compta!H313</f>
        <v>0</v>
      </c>
    </row>
    <row r="313" spans="1:7" ht="15" customHeight="1" x14ac:dyDescent="0.25">
      <c r="A313" s="42">
        <f>Compta!B314</f>
        <v>0</v>
      </c>
      <c r="B313" s="43">
        <f>Compta!C314</f>
        <v>0</v>
      </c>
      <c r="C313" s="44">
        <f>Compta!D314</f>
        <v>0</v>
      </c>
      <c r="D313" s="144">
        <f>Compta!E314</f>
        <v>0</v>
      </c>
      <c r="E313" s="144">
        <f>Compta!F314</f>
        <v>0</v>
      </c>
      <c r="F313" s="136">
        <f t="shared" si="4"/>
        <v>-115.32999999999782</v>
      </c>
      <c r="G313" s="130">
        <f>Compta!H314</f>
        <v>0</v>
      </c>
    </row>
    <row r="314" spans="1:7" ht="15" customHeight="1" x14ac:dyDescent="0.25">
      <c r="A314" s="42">
        <f>Compta!B315</f>
        <v>0</v>
      </c>
      <c r="B314" s="43">
        <f>Compta!C315</f>
        <v>0</v>
      </c>
      <c r="C314" s="44">
        <f>Compta!D315</f>
        <v>0</v>
      </c>
      <c r="D314" s="144">
        <f>Compta!E315</f>
        <v>0</v>
      </c>
      <c r="E314" s="144">
        <f>Compta!F315</f>
        <v>0</v>
      </c>
      <c r="F314" s="136">
        <f t="shared" si="4"/>
        <v>667.77000000000589</v>
      </c>
      <c r="G314" s="130">
        <f>Compta!H315</f>
        <v>0</v>
      </c>
    </row>
    <row r="315" spans="1:7" ht="15" customHeight="1" x14ac:dyDescent="0.25">
      <c r="A315" s="42">
        <f>Compta!B316</f>
        <v>0</v>
      </c>
      <c r="B315" s="43">
        <f>Compta!C316</f>
        <v>0</v>
      </c>
      <c r="C315" s="44">
        <f>Compta!D316</f>
        <v>0</v>
      </c>
      <c r="D315" s="144">
        <f>Compta!E316</f>
        <v>0</v>
      </c>
      <c r="E315" s="144">
        <f>Compta!F316</f>
        <v>0</v>
      </c>
      <c r="F315" s="136">
        <f t="shared" si="4"/>
        <v>-115.32999999999782</v>
      </c>
      <c r="G315" s="130">
        <f>Compta!H316</f>
        <v>0</v>
      </c>
    </row>
    <row r="316" spans="1:7" ht="15" customHeight="1" x14ac:dyDescent="0.25">
      <c r="A316" s="42">
        <f>Compta!B317</f>
        <v>0</v>
      </c>
      <c r="B316" s="43">
        <f>Compta!C317</f>
        <v>0</v>
      </c>
      <c r="C316" s="44">
        <f>Compta!D317</f>
        <v>0</v>
      </c>
      <c r="D316" s="144">
        <f>Compta!E317</f>
        <v>0</v>
      </c>
      <c r="E316" s="144">
        <f>Compta!F317</f>
        <v>0</v>
      </c>
      <c r="F316" s="136">
        <f t="shared" si="4"/>
        <v>667.77000000000589</v>
      </c>
      <c r="G316" s="130">
        <f>Compta!H317</f>
        <v>0</v>
      </c>
    </row>
    <row r="317" spans="1:7" ht="15" customHeight="1" x14ac:dyDescent="0.25">
      <c r="A317" s="42">
        <f>Compta!B318</f>
        <v>0</v>
      </c>
      <c r="B317" s="43">
        <f>Compta!C318</f>
        <v>0</v>
      </c>
      <c r="C317" s="44">
        <f>Compta!D318</f>
        <v>0</v>
      </c>
      <c r="D317" s="144">
        <f>Compta!E318</f>
        <v>0</v>
      </c>
      <c r="E317" s="144">
        <f>Compta!F318</f>
        <v>0</v>
      </c>
      <c r="F317" s="136">
        <f t="shared" si="4"/>
        <v>-115.32999999999782</v>
      </c>
      <c r="G317" s="130">
        <f>Compta!H318</f>
        <v>0</v>
      </c>
    </row>
    <row r="318" spans="1:7" ht="15" customHeight="1" x14ac:dyDescent="0.25">
      <c r="A318" s="42">
        <f>Compta!B319</f>
        <v>0</v>
      </c>
      <c r="B318" s="43">
        <f>Compta!C319</f>
        <v>0</v>
      </c>
      <c r="C318" s="44">
        <f>Compta!D319</f>
        <v>0</v>
      </c>
      <c r="D318" s="144">
        <f>Compta!E319</f>
        <v>0</v>
      </c>
      <c r="E318" s="144">
        <f>Compta!F319</f>
        <v>0</v>
      </c>
      <c r="F318" s="136">
        <f t="shared" si="4"/>
        <v>667.77000000000589</v>
      </c>
      <c r="G318" s="130">
        <f>Compta!H319</f>
        <v>0</v>
      </c>
    </row>
    <row r="319" spans="1:7" ht="15" customHeight="1" x14ac:dyDescent="0.25">
      <c r="A319" s="42">
        <f>Compta!B320</f>
        <v>0</v>
      </c>
      <c r="B319" s="43">
        <f>Compta!C320</f>
        <v>0</v>
      </c>
      <c r="C319" s="44">
        <f>Compta!D320</f>
        <v>0</v>
      </c>
      <c r="D319" s="144">
        <f>Compta!E320</f>
        <v>0</v>
      </c>
      <c r="E319" s="144">
        <f>Compta!F320</f>
        <v>0</v>
      </c>
      <c r="F319" s="136">
        <f t="shared" si="4"/>
        <v>-115.32999999999782</v>
      </c>
      <c r="G319" s="130">
        <f>Compta!H320</f>
        <v>0</v>
      </c>
    </row>
    <row r="320" spans="1:7" ht="15" customHeight="1" x14ac:dyDescent="0.25">
      <c r="A320" s="42">
        <f>Compta!B321</f>
        <v>0</v>
      </c>
      <c r="B320" s="43">
        <f>Compta!C321</f>
        <v>0</v>
      </c>
      <c r="C320" s="44">
        <f>Compta!D321</f>
        <v>0</v>
      </c>
      <c r="D320" s="144">
        <f>Compta!E321</f>
        <v>0</v>
      </c>
      <c r="E320" s="144">
        <f>Compta!F321</f>
        <v>0</v>
      </c>
      <c r="F320" s="136">
        <f t="shared" si="4"/>
        <v>667.77000000000589</v>
      </c>
      <c r="G320" s="130">
        <f>Compta!H321</f>
        <v>0</v>
      </c>
    </row>
    <row r="321" spans="1:7" ht="15" customHeight="1" x14ac:dyDescent="0.25">
      <c r="A321" s="42">
        <f>Compta!B322</f>
        <v>0</v>
      </c>
      <c r="B321" s="43">
        <f>Compta!C322</f>
        <v>0</v>
      </c>
      <c r="C321" s="44">
        <f>Compta!D322</f>
        <v>0</v>
      </c>
      <c r="D321" s="144">
        <f>Compta!E322</f>
        <v>0</v>
      </c>
      <c r="E321" s="144">
        <f>Compta!F322</f>
        <v>0</v>
      </c>
      <c r="F321" s="136">
        <f t="shared" si="4"/>
        <v>-115.32999999999782</v>
      </c>
      <c r="G321" s="130">
        <f>Compta!H322</f>
        <v>0</v>
      </c>
    </row>
    <row r="322" spans="1:7" ht="15" customHeight="1" x14ac:dyDescent="0.25">
      <c r="A322" s="42">
        <f>Compta!B323</f>
        <v>0</v>
      </c>
      <c r="B322" s="43">
        <f>Compta!C323</f>
        <v>0</v>
      </c>
      <c r="C322" s="44">
        <f>Compta!D323</f>
        <v>0</v>
      </c>
      <c r="D322" s="144">
        <f>Compta!E323</f>
        <v>0</v>
      </c>
      <c r="E322" s="144">
        <f>Compta!F323</f>
        <v>0</v>
      </c>
      <c r="F322" s="136">
        <f t="shared" si="4"/>
        <v>667.77000000000589</v>
      </c>
      <c r="G322" s="130">
        <f>Compta!H323</f>
        <v>0</v>
      </c>
    </row>
    <row r="323" spans="1:7" ht="15" customHeight="1" x14ac:dyDescent="0.25">
      <c r="A323" s="42">
        <f>Compta!B324</f>
        <v>0</v>
      </c>
      <c r="B323" s="43">
        <f>Compta!C324</f>
        <v>0</v>
      </c>
      <c r="C323" s="44">
        <f>Compta!D324</f>
        <v>0</v>
      </c>
      <c r="D323" s="144">
        <f>Compta!E324</f>
        <v>0</v>
      </c>
      <c r="E323" s="144">
        <f>Compta!F324</f>
        <v>0</v>
      </c>
      <c r="F323" s="136">
        <f t="shared" si="4"/>
        <v>-115.32999999999782</v>
      </c>
      <c r="G323" s="130">
        <f>Compta!H324</f>
        <v>0</v>
      </c>
    </row>
    <row r="324" spans="1:7" ht="15" customHeight="1" x14ac:dyDescent="0.25">
      <c r="A324" s="42">
        <f>Compta!B325</f>
        <v>0</v>
      </c>
      <c r="B324" s="43">
        <f>Compta!C325</f>
        <v>0</v>
      </c>
      <c r="C324" s="44">
        <f>Compta!D325</f>
        <v>0</v>
      </c>
      <c r="D324" s="144">
        <f>Compta!E325</f>
        <v>0</v>
      </c>
      <c r="E324" s="144">
        <f>Compta!F325</f>
        <v>0</v>
      </c>
      <c r="F324" s="136">
        <f t="shared" si="4"/>
        <v>667.77000000000589</v>
      </c>
      <c r="G324" s="130">
        <f>Compta!H325</f>
        <v>0</v>
      </c>
    </row>
    <row r="325" spans="1:7" ht="15" customHeight="1" x14ac:dyDescent="0.25">
      <c r="A325" s="42">
        <f>Compta!B326</f>
        <v>0</v>
      </c>
      <c r="B325" s="43">
        <f>Compta!C326</f>
        <v>0</v>
      </c>
      <c r="C325" s="44">
        <f>Compta!D326</f>
        <v>0</v>
      </c>
      <c r="D325" s="144">
        <f>Compta!E326</f>
        <v>0</v>
      </c>
      <c r="E325" s="144">
        <f>Compta!F326</f>
        <v>0</v>
      </c>
      <c r="F325" s="136">
        <f t="shared" si="4"/>
        <v>-115.32999999999782</v>
      </c>
      <c r="G325" s="130">
        <f>Compta!H326</f>
        <v>0</v>
      </c>
    </row>
    <row r="326" spans="1:7" ht="15" customHeight="1" x14ac:dyDescent="0.25">
      <c r="A326" s="42">
        <f>Compta!B327</f>
        <v>0</v>
      </c>
      <c r="B326" s="43">
        <f>Compta!C327</f>
        <v>0</v>
      </c>
      <c r="C326" s="44">
        <f>Compta!D327</f>
        <v>0</v>
      </c>
      <c r="D326" s="144">
        <f>Compta!E327</f>
        <v>0</v>
      </c>
      <c r="E326" s="144">
        <f>Compta!F327</f>
        <v>0</v>
      </c>
      <c r="F326" s="136">
        <f t="shared" si="4"/>
        <v>667.77000000000589</v>
      </c>
      <c r="G326" s="130">
        <f>Compta!H327</f>
        <v>0</v>
      </c>
    </row>
    <row r="327" spans="1:7" ht="15" customHeight="1" x14ac:dyDescent="0.25">
      <c r="A327" s="42">
        <f>Compta!B328</f>
        <v>0</v>
      </c>
      <c r="B327" s="43">
        <f>Compta!C328</f>
        <v>0</v>
      </c>
      <c r="C327" s="44">
        <f>Compta!D328</f>
        <v>0</v>
      </c>
      <c r="D327" s="144">
        <f>Compta!E328</f>
        <v>0</v>
      </c>
      <c r="E327" s="144">
        <f>Compta!F328</f>
        <v>0</v>
      </c>
      <c r="F327" s="136">
        <f t="shared" si="4"/>
        <v>-115.32999999999782</v>
      </c>
      <c r="G327" s="130">
        <f>Compta!H328</f>
        <v>0</v>
      </c>
    </row>
    <row r="328" spans="1:7" ht="15" customHeight="1" x14ac:dyDescent="0.25">
      <c r="A328" s="42">
        <f>Compta!B329</f>
        <v>0</v>
      </c>
      <c r="B328" s="43">
        <f>Compta!C329</f>
        <v>0</v>
      </c>
      <c r="C328" s="44">
        <f>Compta!D329</f>
        <v>0</v>
      </c>
      <c r="D328" s="144">
        <f>Compta!E329</f>
        <v>0</v>
      </c>
      <c r="E328" s="144">
        <f>Compta!F329</f>
        <v>0</v>
      </c>
      <c r="F328" s="136">
        <f t="shared" ref="F328:F391" si="5">+F326+D328-E328</f>
        <v>667.77000000000589</v>
      </c>
      <c r="G328" s="130">
        <f>Compta!H329</f>
        <v>0</v>
      </c>
    </row>
    <row r="329" spans="1:7" ht="15" customHeight="1" x14ac:dyDescent="0.25">
      <c r="A329" s="42">
        <f>Compta!B330</f>
        <v>0</v>
      </c>
      <c r="B329" s="43">
        <f>Compta!C330</f>
        <v>0</v>
      </c>
      <c r="C329" s="44">
        <f>Compta!D330</f>
        <v>0</v>
      </c>
      <c r="D329" s="144">
        <f>Compta!E330</f>
        <v>0</v>
      </c>
      <c r="E329" s="144">
        <f>Compta!F330</f>
        <v>0</v>
      </c>
      <c r="F329" s="136">
        <f t="shared" si="5"/>
        <v>-115.32999999999782</v>
      </c>
      <c r="G329" s="130">
        <f>Compta!H330</f>
        <v>0</v>
      </c>
    </row>
    <row r="330" spans="1:7" ht="15" customHeight="1" x14ac:dyDescent="0.25">
      <c r="A330" s="42">
        <f>Compta!B331</f>
        <v>0</v>
      </c>
      <c r="B330" s="43">
        <f>Compta!C331</f>
        <v>0</v>
      </c>
      <c r="C330" s="44">
        <f>Compta!D331</f>
        <v>0</v>
      </c>
      <c r="D330" s="144">
        <f>Compta!E331</f>
        <v>0</v>
      </c>
      <c r="E330" s="144">
        <f>Compta!F331</f>
        <v>0</v>
      </c>
      <c r="F330" s="136">
        <f t="shared" si="5"/>
        <v>667.77000000000589</v>
      </c>
      <c r="G330" s="130">
        <f>Compta!H331</f>
        <v>0</v>
      </c>
    </row>
    <row r="331" spans="1:7" ht="15" customHeight="1" x14ac:dyDescent="0.25">
      <c r="A331" s="42">
        <f>Compta!B332</f>
        <v>0</v>
      </c>
      <c r="B331" s="43">
        <f>Compta!C332</f>
        <v>0</v>
      </c>
      <c r="C331" s="44">
        <f>Compta!D332</f>
        <v>0</v>
      </c>
      <c r="D331" s="144">
        <f>Compta!E332</f>
        <v>0</v>
      </c>
      <c r="E331" s="144">
        <f>Compta!F332</f>
        <v>0</v>
      </c>
      <c r="F331" s="136">
        <f t="shared" si="5"/>
        <v>-115.32999999999782</v>
      </c>
      <c r="G331" s="130">
        <f>Compta!H332</f>
        <v>0</v>
      </c>
    </row>
    <row r="332" spans="1:7" ht="15" customHeight="1" x14ac:dyDescent="0.25">
      <c r="A332" s="42">
        <f>Compta!B333</f>
        <v>0</v>
      </c>
      <c r="B332" s="43">
        <f>Compta!C333</f>
        <v>0</v>
      </c>
      <c r="C332" s="44">
        <f>Compta!D333</f>
        <v>0</v>
      </c>
      <c r="D332" s="144">
        <f>Compta!E333</f>
        <v>0</v>
      </c>
      <c r="E332" s="144">
        <f>Compta!F333</f>
        <v>0</v>
      </c>
      <c r="F332" s="136">
        <f t="shared" si="5"/>
        <v>667.77000000000589</v>
      </c>
      <c r="G332" s="130">
        <f>Compta!H333</f>
        <v>0</v>
      </c>
    </row>
    <row r="333" spans="1:7" ht="15" customHeight="1" x14ac:dyDescent="0.25">
      <c r="A333" s="42">
        <f>Compta!B334</f>
        <v>0</v>
      </c>
      <c r="B333" s="43">
        <f>Compta!C334</f>
        <v>0</v>
      </c>
      <c r="C333" s="44">
        <f>Compta!D334</f>
        <v>0</v>
      </c>
      <c r="D333" s="144">
        <f>Compta!E334</f>
        <v>0</v>
      </c>
      <c r="E333" s="144">
        <f>Compta!F334</f>
        <v>0</v>
      </c>
      <c r="F333" s="136">
        <f t="shared" si="5"/>
        <v>-115.32999999999782</v>
      </c>
      <c r="G333" s="130">
        <f>Compta!H334</f>
        <v>0</v>
      </c>
    </row>
    <row r="334" spans="1:7" ht="15" customHeight="1" x14ac:dyDescent="0.25">
      <c r="A334" s="42">
        <f>Compta!B335</f>
        <v>0</v>
      </c>
      <c r="B334" s="43">
        <f>Compta!C335</f>
        <v>0</v>
      </c>
      <c r="C334" s="44">
        <f>Compta!D335</f>
        <v>0</v>
      </c>
      <c r="D334" s="144">
        <f>Compta!E335</f>
        <v>0</v>
      </c>
      <c r="E334" s="144">
        <f>Compta!F335</f>
        <v>0</v>
      </c>
      <c r="F334" s="136">
        <f t="shared" si="5"/>
        <v>667.77000000000589</v>
      </c>
      <c r="G334" s="130">
        <f>Compta!H335</f>
        <v>0</v>
      </c>
    </row>
    <row r="335" spans="1:7" ht="15" customHeight="1" x14ac:dyDescent="0.25">
      <c r="A335" s="42">
        <f>Compta!B336</f>
        <v>0</v>
      </c>
      <c r="B335" s="43">
        <f>Compta!C336</f>
        <v>0</v>
      </c>
      <c r="C335" s="44">
        <f>Compta!D336</f>
        <v>0</v>
      </c>
      <c r="D335" s="144">
        <f>Compta!E336</f>
        <v>0</v>
      </c>
      <c r="E335" s="144">
        <f>Compta!F336</f>
        <v>0</v>
      </c>
      <c r="F335" s="136">
        <f t="shared" si="5"/>
        <v>-115.32999999999782</v>
      </c>
      <c r="G335" s="130">
        <f>Compta!H336</f>
        <v>0</v>
      </c>
    </row>
    <row r="336" spans="1:7" ht="15" customHeight="1" x14ac:dyDescent="0.25">
      <c r="A336" s="42">
        <f>Compta!B337</f>
        <v>0</v>
      </c>
      <c r="B336" s="43">
        <f>Compta!C337</f>
        <v>0</v>
      </c>
      <c r="C336" s="44">
        <f>Compta!D337</f>
        <v>0</v>
      </c>
      <c r="D336" s="144">
        <f>Compta!E337</f>
        <v>0</v>
      </c>
      <c r="E336" s="144">
        <f>Compta!F337</f>
        <v>0</v>
      </c>
      <c r="F336" s="136">
        <f t="shared" si="5"/>
        <v>667.77000000000589</v>
      </c>
      <c r="G336" s="130">
        <f>Compta!H337</f>
        <v>0</v>
      </c>
    </row>
    <row r="337" spans="1:7" ht="15" customHeight="1" x14ac:dyDescent="0.25">
      <c r="A337" s="42">
        <f>Compta!B338</f>
        <v>0</v>
      </c>
      <c r="B337" s="43">
        <f>Compta!C338</f>
        <v>0</v>
      </c>
      <c r="C337" s="44">
        <f>Compta!D338</f>
        <v>0</v>
      </c>
      <c r="D337" s="144">
        <f>Compta!E338</f>
        <v>0</v>
      </c>
      <c r="E337" s="144">
        <f>Compta!F338</f>
        <v>0</v>
      </c>
      <c r="F337" s="136">
        <f t="shared" si="5"/>
        <v>-115.32999999999782</v>
      </c>
      <c r="G337" s="130">
        <f>Compta!H338</f>
        <v>0</v>
      </c>
    </row>
    <row r="338" spans="1:7" ht="15" customHeight="1" x14ac:dyDescent="0.25">
      <c r="A338" s="42">
        <f>Compta!B339</f>
        <v>0</v>
      </c>
      <c r="B338" s="43">
        <f>Compta!C339</f>
        <v>0</v>
      </c>
      <c r="C338" s="44">
        <f>Compta!D339</f>
        <v>0</v>
      </c>
      <c r="D338" s="144">
        <f>Compta!E339</f>
        <v>0</v>
      </c>
      <c r="E338" s="144">
        <f>Compta!F339</f>
        <v>0</v>
      </c>
      <c r="F338" s="136">
        <f t="shared" si="5"/>
        <v>667.77000000000589</v>
      </c>
      <c r="G338" s="130">
        <f>Compta!H339</f>
        <v>0</v>
      </c>
    </row>
    <row r="339" spans="1:7" ht="15" customHeight="1" x14ac:dyDescent="0.25">
      <c r="A339" s="42">
        <f>Compta!B340</f>
        <v>0</v>
      </c>
      <c r="B339" s="43">
        <f>Compta!C340</f>
        <v>0</v>
      </c>
      <c r="C339" s="44">
        <f>Compta!D340</f>
        <v>0</v>
      </c>
      <c r="D339" s="144">
        <f>Compta!E340</f>
        <v>0</v>
      </c>
      <c r="E339" s="144">
        <f>Compta!F340</f>
        <v>0</v>
      </c>
      <c r="F339" s="136">
        <f t="shared" si="5"/>
        <v>-115.32999999999782</v>
      </c>
      <c r="G339" s="130">
        <f>Compta!H340</f>
        <v>0</v>
      </c>
    </row>
    <row r="340" spans="1:7" ht="15" customHeight="1" x14ac:dyDescent="0.25">
      <c r="A340" s="42">
        <f>Compta!B341</f>
        <v>0</v>
      </c>
      <c r="B340" s="43">
        <f>Compta!C341</f>
        <v>0</v>
      </c>
      <c r="C340" s="44">
        <f>Compta!D341</f>
        <v>0</v>
      </c>
      <c r="D340" s="144">
        <f>Compta!E341</f>
        <v>0</v>
      </c>
      <c r="E340" s="144">
        <f>Compta!F341</f>
        <v>0</v>
      </c>
      <c r="F340" s="136">
        <f t="shared" si="5"/>
        <v>667.77000000000589</v>
      </c>
      <c r="G340" s="130">
        <f>Compta!H341</f>
        <v>0</v>
      </c>
    </row>
    <row r="341" spans="1:7" ht="15" customHeight="1" x14ac:dyDescent="0.25">
      <c r="A341" s="42">
        <f>Compta!B342</f>
        <v>0</v>
      </c>
      <c r="B341" s="43">
        <f>Compta!C342</f>
        <v>0</v>
      </c>
      <c r="C341" s="44">
        <f>Compta!D342</f>
        <v>0</v>
      </c>
      <c r="D341" s="144">
        <f>Compta!E342</f>
        <v>0</v>
      </c>
      <c r="E341" s="144">
        <f>Compta!F342</f>
        <v>0</v>
      </c>
      <c r="F341" s="136">
        <f t="shared" si="5"/>
        <v>-115.32999999999782</v>
      </c>
      <c r="G341" s="130">
        <f>Compta!H342</f>
        <v>0</v>
      </c>
    </row>
    <row r="342" spans="1:7" ht="15" customHeight="1" x14ac:dyDescent="0.25">
      <c r="A342" s="42">
        <f>Compta!B343</f>
        <v>0</v>
      </c>
      <c r="B342" s="43">
        <f>Compta!C343</f>
        <v>0</v>
      </c>
      <c r="C342" s="44">
        <f>Compta!D343</f>
        <v>0</v>
      </c>
      <c r="D342" s="144">
        <f>Compta!E343</f>
        <v>0</v>
      </c>
      <c r="E342" s="144">
        <f>Compta!F343</f>
        <v>0</v>
      </c>
      <c r="F342" s="136">
        <f t="shared" si="5"/>
        <v>667.77000000000589</v>
      </c>
      <c r="G342" s="130">
        <f>Compta!H343</f>
        <v>0</v>
      </c>
    </row>
    <row r="343" spans="1:7" ht="15" customHeight="1" x14ac:dyDescent="0.25">
      <c r="A343" s="42">
        <f>Compta!B344</f>
        <v>0</v>
      </c>
      <c r="B343" s="43">
        <f>Compta!C344</f>
        <v>0</v>
      </c>
      <c r="C343" s="44">
        <f>Compta!D344</f>
        <v>0</v>
      </c>
      <c r="D343" s="144">
        <f>Compta!E344</f>
        <v>0</v>
      </c>
      <c r="E343" s="144">
        <f>Compta!F344</f>
        <v>0</v>
      </c>
      <c r="F343" s="136">
        <f t="shared" si="5"/>
        <v>-115.32999999999782</v>
      </c>
      <c r="G343" s="130">
        <f>Compta!H344</f>
        <v>0</v>
      </c>
    </row>
    <row r="344" spans="1:7" ht="15" customHeight="1" x14ac:dyDescent="0.25">
      <c r="A344" s="42">
        <f>Compta!B345</f>
        <v>0</v>
      </c>
      <c r="B344" s="43">
        <f>Compta!C345</f>
        <v>0</v>
      </c>
      <c r="C344" s="44">
        <f>Compta!D345</f>
        <v>0</v>
      </c>
      <c r="D344" s="144">
        <f>Compta!E345</f>
        <v>0</v>
      </c>
      <c r="E344" s="144">
        <f>Compta!F345</f>
        <v>0</v>
      </c>
      <c r="F344" s="136">
        <f t="shared" si="5"/>
        <v>667.77000000000589</v>
      </c>
      <c r="G344" s="130">
        <f>Compta!H345</f>
        <v>0</v>
      </c>
    </row>
    <row r="345" spans="1:7" ht="15" customHeight="1" x14ac:dyDescent="0.25">
      <c r="A345" s="42">
        <f>Compta!B346</f>
        <v>0</v>
      </c>
      <c r="B345" s="43">
        <f>Compta!C346</f>
        <v>0</v>
      </c>
      <c r="C345" s="44">
        <f>Compta!D346</f>
        <v>0</v>
      </c>
      <c r="D345" s="144">
        <f>Compta!E346</f>
        <v>0</v>
      </c>
      <c r="E345" s="144">
        <f>Compta!F346</f>
        <v>0</v>
      </c>
      <c r="F345" s="136">
        <f t="shared" si="5"/>
        <v>-115.32999999999782</v>
      </c>
      <c r="G345" s="130">
        <f>Compta!H346</f>
        <v>0</v>
      </c>
    </row>
    <row r="346" spans="1:7" ht="15" customHeight="1" x14ac:dyDescent="0.25">
      <c r="A346" s="42">
        <f>Compta!B347</f>
        <v>0</v>
      </c>
      <c r="B346" s="43">
        <f>Compta!C347</f>
        <v>0</v>
      </c>
      <c r="C346" s="44">
        <f>Compta!D347</f>
        <v>0</v>
      </c>
      <c r="D346" s="144">
        <f>Compta!E347</f>
        <v>0</v>
      </c>
      <c r="E346" s="144">
        <f>Compta!F347</f>
        <v>0</v>
      </c>
      <c r="F346" s="136">
        <f t="shared" si="5"/>
        <v>667.77000000000589</v>
      </c>
      <c r="G346" s="130">
        <f>Compta!H347</f>
        <v>0</v>
      </c>
    </row>
    <row r="347" spans="1:7" ht="15" customHeight="1" x14ac:dyDescent="0.25">
      <c r="A347" s="42">
        <f>Compta!B348</f>
        <v>0</v>
      </c>
      <c r="B347" s="43">
        <f>Compta!C348</f>
        <v>0</v>
      </c>
      <c r="C347" s="44">
        <f>Compta!D348</f>
        <v>0</v>
      </c>
      <c r="D347" s="144">
        <f>Compta!E348</f>
        <v>0</v>
      </c>
      <c r="E347" s="144">
        <f>Compta!F348</f>
        <v>0</v>
      </c>
      <c r="F347" s="136">
        <f t="shared" si="5"/>
        <v>-115.32999999999782</v>
      </c>
      <c r="G347" s="130">
        <f>Compta!H348</f>
        <v>0</v>
      </c>
    </row>
    <row r="348" spans="1:7" ht="15" customHeight="1" x14ac:dyDescent="0.25">
      <c r="A348" s="42">
        <f>Compta!B349</f>
        <v>0</v>
      </c>
      <c r="B348" s="43">
        <f>Compta!C349</f>
        <v>0</v>
      </c>
      <c r="C348" s="44">
        <f>Compta!D349</f>
        <v>0</v>
      </c>
      <c r="D348" s="144">
        <f>Compta!E349</f>
        <v>0</v>
      </c>
      <c r="E348" s="144">
        <f>Compta!F349</f>
        <v>0</v>
      </c>
      <c r="F348" s="136">
        <f t="shared" si="5"/>
        <v>667.77000000000589</v>
      </c>
      <c r="G348" s="130">
        <f>Compta!H349</f>
        <v>0</v>
      </c>
    </row>
    <row r="349" spans="1:7" ht="15" customHeight="1" x14ac:dyDescent="0.25">
      <c r="A349" s="42">
        <f>Compta!B350</f>
        <v>0</v>
      </c>
      <c r="B349" s="43">
        <f>Compta!C350</f>
        <v>0</v>
      </c>
      <c r="C349" s="44">
        <f>Compta!D350</f>
        <v>0</v>
      </c>
      <c r="D349" s="144">
        <f>Compta!E350</f>
        <v>0</v>
      </c>
      <c r="E349" s="144">
        <f>Compta!F350</f>
        <v>0</v>
      </c>
      <c r="F349" s="136">
        <f t="shared" si="5"/>
        <v>-115.32999999999782</v>
      </c>
      <c r="G349" s="130">
        <f>Compta!H350</f>
        <v>0</v>
      </c>
    </row>
    <row r="350" spans="1:7" ht="15" customHeight="1" x14ac:dyDescent="0.25">
      <c r="A350" s="42">
        <f>Compta!B351</f>
        <v>0</v>
      </c>
      <c r="B350" s="43">
        <f>Compta!C351</f>
        <v>0</v>
      </c>
      <c r="C350" s="44">
        <f>Compta!D351</f>
        <v>0</v>
      </c>
      <c r="D350" s="144">
        <f>Compta!E351</f>
        <v>0</v>
      </c>
      <c r="E350" s="144">
        <f>Compta!F351</f>
        <v>0</v>
      </c>
      <c r="F350" s="136">
        <f t="shared" si="5"/>
        <v>667.77000000000589</v>
      </c>
      <c r="G350" s="130">
        <f>Compta!H351</f>
        <v>0</v>
      </c>
    </row>
    <row r="351" spans="1:7" ht="15" customHeight="1" x14ac:dyDescent="0.25">
      <c r="A351" s="42">
        <f>Compta!B352</f>
        <v>0</v>
      </c>
      <c r="B351" s="43">
        <f>Compta!C352</f>
        <v>0</v>
      </c>
      <c r="C351" s="44">
        <f>Compta!D352</f>
        <v>0</v>
      </c>
      <c r="D351" s="144">
        <f>Compta!E352</f>
        <v>0</v>
      </c>
      <c r="E351" s="144">
        <f>Compta!F352</f>
        <v>0</v>
      </c>
      <c r="F351" s="136">
        <f t="shared" si="5"/>
        <v>-115.32999999999782</v>
      </c>
      <c r="G351" s="130">
        <f>Compta!H352</f>
        <v>0</v>
      </c>
    </row>
    <row r="352" spans="1:7" ht="15" customHeight="1" x14ac:dyDescent="0.25">
      <c r="A352" s="42">
        <f>Compta!B353</f>
        <v>0</v>
      </c>
      <c r="B352" s="43">
        <f>Compta!C353</f>
        <v>0</v>
      </c>
      <c r="C352" s="44">
        <f>Compta!D353</f>
        <v>0</v>
      </c>
      <c r="D352" s="144">
        <f>Compta!E353</f>
        <v>0</v>
      </c>
      <c r="E352" s="144">
        <f>Compta!F353</f>
        <v>0</v>
      </c>
      <c r="F352" s="136">
        <f t="shared" si="5"/>
        <v>667.77000000000589</v>
      </c>
      <c r="G352" s="130">
        <f>Compta!H353</f>
        <v>0</v>
      </c>
    </row>
    <row r="353" spans="1:7" ht="15" customHeight="1" x14ac:dyDescent="0.25">
      <c r="A353" s="42">
        <f>Compta!B354</f>
        <v>0</v>
      </c>
      <c r="B353" s="43">
        <f>Compta!C354</f>
        <v>0</v>
      </c>
      <c r="C353" s="44">
        <f>Compta!D354</f>
        <v>0</v>
      </c>
      <c r="D353" s="144">
        <f>Compta!E354</f>
        <v>0</v>
      </c>
      <c r="E353" s="144">
        <f>Compta!F354</f>
        <v>0</v>
      </c>
      <c r="F353" s="136">
        <f t="shared" si="5"/>
        <v>-115.32999999999782</v>
      </c>
      <c r="G353" s="130">
        <f>Compta!H354</f>
        <v>0</v>
      </c>
    </row>
    <row r="354" spans="1:7" ht="15" customHeight="1" x14ac:dyDescent="0.25">
      <c r="A354" s="42">
        <f>Compta!B355</f>
        <v>0</v>
      </c>
      <c r="B354" s="43">
        <f>Compta!C355</f>
        <v>0</v>
      </c>
      <c r="C354" s="44">
        <f>Compta!D355</f>
        <v>0</v>
      </c>
      <c r="D354" s="144">
        <f>Compta!E355</f>
        <v>0</v>
      </c>
      <c r="E354" s="144">
        <f>Compta!F355</f>
        <v>0</v>
      </c>
      <c r="F354" s="136">
        <f t="shared" si="5"/>
        <v>667.77000000000589</v>
      </c>
      <c r="G354" s="130">
        <f>Compta!H355</f>
        <v>0</v>
      </c>
    </row>
    <row r="355" spans="1:7" ht="15" customHeight="1" x14ac:dyDescent="0.25">
      <c r="A355" s="42">
        <f>Compta!B356</f>
        <v>0</v>
      </c>
      <c r="B355" s="43">
        <f>Compta!C356</f>
        <v>0</v>
      </c>
      <c r="C355" s="44">
        <f>Compta!D356</f>
        <v>0</v>
      </c>
      <c r="D355" s="144">
        <f>Compta!E356</f>
        <v>0</v>
      </c>
      <c r="E355" s="144">
        <f>Compta!F356</f>
        <v>0</v>
      </c>
      <c r="F355" s="136">
        <f t="shared" si="5"/>
        <v>-115.32999999999782</v>
      </c>
      <c r="G355" s="130">
        <f>Compta!H356</f>
        <v>0</v>
      </c>
    </row>
    <row r="356" spans="1:7" ht="15" customHeight="1" x14ac:dyDescent="0.25">
      <c r="A356" s="42">
        <f>Compta!B357</f>
        <v>0</v>
      </c>
      <c r="B356" s="43">
        <f>Compta!C357</f>
        <v>0</v>
      </c>
      <c r="C356" s="44">
        <f>Compta!D357</f>
        <v>0</v>
      </c>
      <c r="D356" s="144">
        <f>Compta!E357</f>
        <v>0</v>
      </c>
      <c r="E356" s="144">
        <f>Compta!F357</f>
        <v>0</v>
      </c>
      <c r="F356" s="136">
        <f t="shared" si="5"/>
        <v>667.77000000000589</v>
      </c>
      <c r="G356" s="130">
        <f>Compta!H357</f>
        <v>0</v>
      </c>
    </row>
    <row r="357" spans="1:7" ht="15" customHeight="1" x14ac:dyDescent="0.25">
      <c r="A357" s="42">
        <f>Compta!B358</f>
        <v>0</v>
      </c>
      <c r="B357" s="43">
        <f>Compta!C358</f>
        <v>0</v>
      </c>
      <c r="C357" s="44">
        <f>Compta!D358</f>
        <v>0</v>
      </c>
      <c r="D357" s="144">
        <f>Compta!E358</f>
        <v>0</v>
      </c>
      <c r="E357" s="144">
        <f>Compta!F358</f>
        <v>0</v>
      </c>
      <c r="F357" s="136">
        <f t="shared" si="5"/>
        <v>-115.32999999999782</v>
      </c>
      <c r="G357" s="130">
        <f>Compta!H358</f>
        <v>0</v>
      </c>
    </row>
    <row r="358" spans="1:7" ht="15" customHeight="1" x14ac:dyDescent="0.25">
      <c r="A358" s="42">
        <f>Compta!B359</f>
        <v>0</v>
      </c>
      <c r="B358" s="43">
        <f>Compta!C359</f>
        <v>0</v>
      </c>
      <c r="C358" s="44">
        <f>Compta!D359</f>
        <v>0</v>
      </c>
      <c r="D358" s="144">
        <f>Compta!E359</f>
        <v>0</v>
      </c>
      <c r="E358" s="144">
        <f>Compta!F359</f>
        <v>0</v>
      </c>
      <c r="F358" s="136">
        <f t="shared" si="5"/>
        <v>667.77000000000589</v>
      </c>
      <c r="G358" s="130">
        <f>Compta!H359</f>
        <v>0</v>
      </c>
    </row>
    <row r="359" spans="1:7" ht="15" customHeight="1" x14ac:dyDescent="0.25">
      <c r="A359" s="42">
        <f>Compta!B360</f>
        <v>0</v>
      </c>
      <c r="B359" s="43">
        <f>Compta!C360</f>
        <v>0</v>
      </c>
      <c r="C359" s="44">
        <f>Compta!D360</f>
        <v>0</v>
      </c>
      <c r="D359" s="144">
        <f>Compta!E360</f>
        <v>0</v>
      </c>
      <c r="E359" s="144">
        <f>Compta!F360</f>
        <v>0</v>
      </c>
      <c r="F359" s="136">
        <f t="shared" si="5"/>
        <v>-115.32999999999782</v>
      </c>
      <c r="G359" s="130">
        <f>Compta!H360</f>
        <v>0</v>
      </c>
    </row>
    <row r="360" spans="1:7" ht="15" customHeight="1" x14ac:dyDescent="0.25">
      <c r="A360" s="42">
        <f>Compta!B361</f>
        <v>0</v>
      </c>
      <c r="B360" s="43">
        <f>Compta!C361</f>
        <v>0</v>
      </c>
      <c r="C360" s="44">
        <f>Compta!D361</f>
        <v>0</v>
      </c>
      <c r="D360" s="144">
        <f>Compta!E361</f>
        <v>0</v>
      </c>
      <c r="E360" s="144">
        <f>Compta!F361</f>
        <v>0</v>
      </c>
      <c r="F360" s="136">
        <f t="shared" si="5"/>
        <v>667.77000000000589</v>
      </c>
      <c r="G360" s="130">
        <f>Compta!H361</f>
        <v>0</v>
      </c>
    </row>
    <row r="361" spans="1:7" ht="15" customHeight="1" x14ac:dyDescent="0.25">
      <c r="A361" s="42">
        <f>Compta!B362</f>
        <v>0</v>
      </c>
      <c r="B361" s="43">
        <f>Compta!C362</f>
        <v>0</v>
      </c>
      <c r="C361" s="44">
        <f>Compta!D362</f>
        <v>0</v>
      </c>
      <c r="D361" s="144">
        <f>Compta!E362</f>
        <v>0</v>
      </c>
      <c r="E361" s="144">
        <f>Compta!F362</f>
        <v>0</v>
      </c>
      <c r="F361" s="136">
        <f t="shared" si="5"/>
        <v>-115.32999999999782</v>
      </c>
      <c r="G361" s="130">
        <f>Compta!H362</f>
        <v>0</v>
      </c>
    </row>
    <row r="362" spans="1:7" ht="15" customHeight="1" x14ac:dyDescent="0.25">
      <c r="A362" s="42">
        <f>Compta!B363</f>
        <v>0</v>
      </c>
      <c r="B362" s="43">
        <f>Compta!C363</f>
        <v>0</v>
      </c>
      <c r="C362" s="44">
        <f>Compta!D363</f>
        <v>0</v>
      </c>
      <c r="D362" s="144">
        <f>Compta!E363</f>
        <v>0</v>
      </c>
      <c r="E362" s="144">
        <f>Compta!F363</f>
        <v>0</v>
      </c>
      <c r="F362" s="136">
        <f t="shared" si="5"/>
        <v>667.77000000000589</v>
      </c>
      <c r="G362" s="130">
        <f>Compta!H363</f>
        <v>0</v>
      </c>
    </row>
    <row r="363" spans="1:7" ht="15" customHeight="1" x14ac:dyDescent="0.25">
      <c r="A363" s="42">
        <f>Compta!B364</f>
        <v>0</v>
      </c>
      <c r="B363" s="43">
        <f>Compta!C364</f>
        <v>0</v>
      </c>
      <c r="C363" s="44">
        <f>Compta!D364</f>
        <v>0</v>
      </c>
      <c r="D363" s="144">
        <f>Compta!E364</f>
        <v>0</v>
      </c>
      <c r="E363" s="144">
        <f>Compta!F364</f>
        <v>0</v>
      </c>
      <c r="F363" s="136">
        <f t="shared" si="5"/>
        <v>-115.32999999999782</v>
      </c>
      <c r="G363" s="130">
        <f>Compta!H364</f>
        <v>0</v>
      </c>
    </row>
    <row r="364" spans="1:7" ht="15" customHeight="1" x14ac:dyDescent="0.25">
      <c r="A364" s="42">
        <f>Compta!B365</f>
        <v>0</v>
      </c>
      <c r="B364" s="43">
        <f>Compta!C365</f>
        <v>0</v>
      </c>
      <c r="C364" s="44">
        <f>Compta!D365</f>
        <v>0</v>
      </c>
      <c r="D364" s="144">
        <f>Compta!E365</f>
        <v>0</v>
      </c>
      <c r="E364" s="144">
        <f>Compta!F365</f>
        <v>0</v>
      </c>
      <c r="F364" s="136">
        <f t="shared" si="5"/>
        <v>667.77000000000589</v>
      </c>
      <c r="G364" s="130">
        <f>Compta!H365</f>
        <v>0</v>
      </c>
    </row>
    <row r="365" spans="1:7" ht="15" customHeight="1" x14ac:dyDescent="0.25">
      <c r="A365" s="42">
        <f>Compta!B366</f>
        <v>0</v>
      </c>
      <c r="B365" s="43">
        <f>Compta!C366</f>
        <v>0</v>
      </c>
      <c r="C365" s="44">
        <f>Compta!D366</f>
        <v>0</v>
      </c>
      <c r="D365" s="144">
        <f>Compta!E366</f>
        <v>0</v>
      </c>
      <c r="E365" s="144">
        <f>Compta!F366</f>
        <v>0</v>
      </c>
      <c r="F365" s="136">
        <f t="shared" si="5"/>
        <v>-115.32999999999782</v>
      </c>
      <c r="G365" s="130">
        <f>Compta!H366</f>
        <v>0</v>
      </c>
    </row>
    <row r="366" spans="1:7" ht="15" customHeight="1" x14ac:dyDescent="0.25">
      <c r="A366" s="42">
        <f>Compta!B367</f>
        <v>0</v>
      </c>
      <c r="B366" s="43">
        <f>Compta!C367</f>
        <v>0</v>
      </c>
      <c r="C366" s="44">
        <f>Compta!D367</f>
        <v>0</v>
      </c>
      <c r="D366" s="144">
        <f>Compta!E367</f>
        <v>0</v>
      </c>
      <c r="E366" s="144">
        <f>Compta!F367</f>
        <v>0</v>
      </c>
      <c r="F366" s="136">
        <f t="shared" si="5"/>
        <v>667.77000000000589</v>
      </c>
      <c r="G366" s="130">
        <f>Compta!H367</f>
        <v>0</v>
      </c>
    </row>
    <row r="367" spans="1:7" ht="15" customHeight="1" x14ac:dyDescent="0.25">
      <c r="A367" s="42">
        <f>Compta!B368</f>
        <v>0</v>
      </c>
      <c r="B367" s="43">
        <f>Compta!C368</f>
        <v>0</v>
      </c>
      <c r="C367" s="44">
        <f>Compta!D368</f>
        <v>0</v>
      </c>
      <c r="D367" s="144">
        <f>Compta!E368</f>
        <v>0</v>
      </c>
      <c r="E367" s="144">
        <f>Compta!F368</f>
        <v>0</v>
      </c>
      <c r="F367" s="136">
        <f t="shared" si="5"/>
        <v>-115.32999999999782</v>
      </c>
      <c r="G367" s="130">
        <f>Compta!H368</f>
        <v>0</v>
      </c>
    </row>
    <row r="368" spans="1:7" ht="15" customHeight="1" x14ac:dyDescent="0.25">
      <c r="A368" s="42">
        <f>Compta!B369</f>
        <v>0</v>
      </c>
      <c r="B368" s="43">
        <f>Compta!C369</f>
        <v>0</v>
      </c>
      <c r="C368" s="44">
        <f>Compta!D369</f>
        <v>0</v>
      </c>
      <c r="D368" s="144">
        <f>Compta!E369</f>
        <v>0</v>
      </c>
      <c r="E368" s="144">
        <f>Compta!F369</f>
        <v>0</v>
      </c>
      <c r="F368" s="136">
        <f t="shared" si="5"/>
        <v>667.77000000000589</v>
      </c>
      <c r="G368" s="130">
        <f>Compta!H369</f>
        <v>0</v>
      </c>
    </row>
    <row r="369" spans="1:7" ht="15" customHeight="1" x14ac:dyDescent="0.25">
      <c r="A369" s="42">
        <f>Compta!B370</f>
        <v>0</v>
      </c>
      <c r="B369" s="43">
        <f>Compta!C370</f>
        <v>0</v>
      </c>
      <c r="C369" s="44">
        <f>Compta!D370</f>
        <v>0</v>
      </c>
      <c r="D369" s="144">
        <f>Compta!E370</f>
        <v>0</v>
      </c>
      <c r="E369" s="144">
        <f>Compta!F370</f>
        <v>0</v>
      </c>
      <c r="F369" s="136">
        <f t="shared" si="5"/>
        <v>-115.32999999999782</v>
      </c>
      <c r="G369" s="130">
        <f>Compta!H370</f>
        <v>0</v>
      </c>
    </row>
    <row r="370" spans="1:7" ht="15" customHeight="1" x14ac:dyDescent="0.25">
      <c r="A370" s="42">
        <f>Compta!B371</f>
        <v>0</v>
      </c>
      <c r="B370" s="43">
        <f>Compta!C371</f>
        <v>0</v>
      </c>
      <c r="C370" s="44">
        <f>Compta!D371</f>
        <v>0</v>
      </c>
      <c r="D370" s="144">
        <f>Compta!E371</f>
        <v>0</v>
      </c>
      <c r="E370" s="144">
        <f>Compta!F371</f>
        <v>0</v>
      </c>
      <c r="F370" s="136">
        <f t="shared" si="5"/>
        <v>667.77000000000589</v>
      </c>
      <c r="G370" s="130">
        <f>Compta!H371</f>
        <v>0</v>
      </c>
    </row>
    <row r="371" spans="1:7" ht="15" customHeight="1" x14ac:dyDescent="0.25">
      <c r="A371" s="42">
        <f>Compta!B372</f>
        <v>0</v>
      </c>
      <c r="B371" s="43">
        <f>Compta!C372</f>
        <v>0</v>
      </c>
      <c r="C371" s="44">
        <f>Compta!D372</f>
        <v>0</v>
      </c>
      <c r="D371" s="144">
        <f>Compta!E372</f>
        <v>0</v>
      </c>
      <c r="E371" s="144">
        <f>Compta!F372</f>
        <v>0</v>
      </c>
      <c r="F371" s="136">
        <f t="shared" si="5"/>
        <v>-115.32999999999782</v>
      </c>
      <c r="G371" s="130">
        <f>Compta!H372</f>
        <v>0</v>
      </c>
    </row>
    <row r="372" spans="1:7" ht="15" customHeight="1" x14ac:dyDescent="0.25">
      <c r="A372" s="42">
        <f>Compta!B373</f>
        <v>0</v>
      </c>
      <c r="B372" s="43">
        <f>Compta!C373</f>
        <v>0</v>
      </c>
      <c r="C372" s="44">
        <f>Compta!D373</f>
        <v>0</v>
      </c>
      <c r="D372" s="144">
        <f>Compta!E373</f>
        <v>0</v>
      </c>
      <c r="E372" s="144">
        <f>Compta!F373</f>
        <v>0</v>
      </c>
      <c r="F372" s="136">
        <f t="shared" si="5"/>
        <v>667.77000000000589</v>
      </c>
      <c r="G372" s="130">
        <f>Compta!H373</f>
        <v>0</v>
      </c>
    </row>
    <row r="373" spans="1:7" ht="15" customHeight="1" x14ac:dyDescent="0.25">
      <c r="A373" s="42">
        <f>Compta!B374</f>
        <v>0</v>
      </c>
      <c r="B373" s="43">
        <f>Compta!C374</f>
        <v>0</v>
      </c>
      <c r="C373" s="44">
        <f>Compta!D374</f>
        <v>0</v>
      </c>
      <c r="D373" s="144">
        <f>Compta!E374</f>
        <v>0</v>
      </c>
      <c r="E373" s="144">
        <f>Compta!F374</f>
        <v>0</v>
      </c>
      <c r="F373" s="136">
        <f t="shared" si="5"/>
        <v>-115.32999999999782</v>
      </c>
      <c r="G373" s="130">
        <f>Compta!H374</f>
        <v>0</v>
      </c>
    </row>
    <row r="374" spans="1:7" ht="15" customHeight="1" x14ac:dyDescent="0.25">
      <c r="A374" s="42">
        <f>Compta!B375</f>
        <v>0</v>
      </c>
      <c r="B374" s="43">
        <f>Compta!C375</f>
        <v>0</v>
      </c>
      <c r="C374" s="44">
        <f>Compta!D375</f>
        <v>0</v>
      </c>
      <c r="D374" s="144">
        <f>Compta!E375</f>
        <v>0</v>
      </c>
      <c r="E374" s="144">
        <f>Compta!F375</f>
        <v>0</v>
      </c>
      <c r="F374" s="136">
        <f t="shared" si="5"/>
        <v>667.77000000000589</v>
      </c>
      <c r="G374" s="130">
        <f>Compta!H375</f>
        <v>0</v>
      </c>
    </row>
    <row r="375" spans="1:7" ht="15" customHeight="1" x14ac:dyDescent="0.25">
      <c r="A375" s="42">
        <f>Compta!B376</f>
        <v>0</v>
      </c>
      <c r="B375" s="43">
        <f>Compta!C376</f>
        <v>0</v>
      </c>
      <c r="C375" s="44">
        <f>Compta!D376</f>
        <v>0</v>
      </c>
      <c r="D375" s="144">
        <f>Compta!E376</f>
        <v>0</v>
      </c>
      <c r="E375" s="144">
        <f>Compta!F376</f>
        <v>0</v>
      </c>
      <c r="F375" s="136">
        <f t="shared" si="5"/>
        <v>-115.32999999999782</v>
      </c>
      <c r="G375" s="130">
        <f>Compta!H376</f>
        <v>0</v>
      </c>
    </row>
    <row r="376" spans="1:7" ht="15" customHeight="1" x14ac:dyDescent="0.25">
      <c r="A376" s="42">
        <f>Compta!B377</f>
        <v>0</v>
      </c>
      <c r="B376" s="43">
        <f>Compta!C377</f>
        <v>0</v>
      </c>
      <c r="C376" s="44">
        <f>Compta!D377</f>
        <v>0</v>
      </c>
      <c r="D376" s="144">
        <f>Compta!E377</f>
        <v>0</v>
      </c>
      <c r="E376" s="144">
        <f>Compta!F377</f>
        <v>0</v>
      </c>
      <c r="F376" s="136">
        <f t="shared" si="5"/>
        <v>667.77000000000589</v>
      </c>
      <c r="G376" s="130">
        <f>Compta!H377</f>
        <v>0</v>
      </c>
    </row>
    <row r="377" spans="1:7" ht="15" customHeight="1" x14ac:dyDescent="0.25">
      <c r="A377" s="42">
        <f>Compta!B378</f>
        <v>0</v>
      </c>
      <c r="B377" s="43">
        <f>Compta!C378</f>
        <v>0</v>
      </c>
      <c r="C377" s="44">
        <f>Compta!D378</f>
        <v>0</v>
      </c>
      <c r="D377" s="144">
        <f>Compta!E378</f>
        <v>0</v>
      </c>
      <c r="E377" s="144">
        <f>Compta!F378</f>
        <v>0</v>
      </c>
      <c r="F377" s="136">
        <f t="shared" si="5"/>
        <v>-115.32999999999782</v>
      </c>
      <c r="G377" s="130">
        <f>Compta!H378</f>
        <v>0</v>
      </c>
    </row>
    <row r="378" spans="1:7" ht="15" customHeight="1" x14ac:dyDescent="0.25">
      <c r="A378" s="42">
        <f>Compta!B379</f>
        <v>0</v>
      </c>
      <c r="B378" s="43">
        <f>Compta!C379</f>
        <v>0</v>
      </c>
      <c r="C378" s="44">
        <f>Compta!D379</f>
        <v>0</v>
      </c>
      <c r="D378" s="144">
        <f>Compta!E379</f>
        <v>0</v>
      </c>
      <c r="E378" s="144">
        <f>Compta!F379</f>
        <v>0</v>
      </c>
      <c r="F378" s="136">
        <f t="shared" si="5"/>
        <v>667.77000000000589</v>
      </c>
      <c r="G378" s="130">
        <f>Compta!H379</f>
        <v>0</v>
      </c>
    </row>
    <row r="379" spans="1:7" ht="15" customHeight="1" x14ac:dyDescent="0.25">
      <c r="A379" s="42">
        <f>Compta!B380</f>
        <v>0</v>
      </c>
      <c r="B379" s="43">
        <f>Compta!C380</f>
        <v>0</v>
      </c>
      <c r="C379" s="44">
        <f>Compta!D380</f>
        <v>0</v>
      </c>
      <c r="D379" s="144">
        <f>Compta!E380</f>
        <v>0</v>
      </c>
      <c r="E379" s="144">
        <f>Compta!F380</f>
        <v>0</v>
      </c>
      <c r="F379" s="136">
        <f t="shared" si="5"/>
        <v>-115.32999999999782</v>
      </c>
      <c r="G379" s="130">
        <f>Compta!H380</f>
        <v>0</v>
      </c>
    </row>
    <row r="380" spans="1:7" ht="15" customHeight="1" x14ac:dyDescent="0.25">
      <c r="A380" s="42">
        <f>Compta!B381</f>
        <v>0</v>
      </c>
      <c r="B380" s="43">
        <f>Compta!C381</f>
        <v>0</v>
      </c>
      <c r="C380" s="44">
        <f>Compta!D381</f>
        <v>0</v>
      </c>
      <c r="D380" s="144">
        <f>Compta!E381</f>
        <v>0</v>
      </c>
      <c r="E380" s="144">
        <f>Compta!F381</f>
        <v>0</v>
      </c>
      <c r="F380" s="136">
        <f t="shared" si="5"/>
        <v>667.77000000000589</v>
      </c>
      <c r="G380" s="130">
        <f>Compta!H381</f>
        <v>0</v>
      </c>
    </row>
    <row r="381" spans="1:7" ht="15" customHeight="1" x14ac:dyDescent="0.25">
      <c r="A381" s="42">
        <f>Compta!B382</f>
        <v>0</v>
      </c>
      <c r="B381" s="43">
        <f>Compta!C382</f>
        <v>0</v>
      </c>
      <c r="C381" s="44">
        <f>Compta!D382</f>
        <v>0</v>
      </c>
      <c r="D381" s="144">
        <f>Compta!E382</f>
        <v>0</v>
      </c>
      <c r="E381" s="144">
        <f>Compta!F382</f>
        <v>0</v>
      </c>
      <c r="F381" s="136">
        <f t="shared" si="5"/>
        <v>-115.32999999999782</v>
      </c>
      <c r="G381" s="130">
        <f>Compta!H382</f>
        <v>0</v>
      </c>
    </row>
    <row r="382" spans="1:7" ht="15" customHeight="1" x14ac:dyDescent="0.25">
      <c r="A382" s="42">
        <f>Compta!B383</f>
        <v>0</v>
      </c>
      <c r="B382" s="43">
        <f>Compta!C383</f>
        <v>0</v>
      </c>
      <c r="C382" s="44">
        <f>Compta!D383</f>
        <v>0</v>
      </c>
      <c r="D382" s="144">
        <f>Compta!E383</f>
        <v>0</v>
      </c>
      <c r="E382" s="144">
        <f>Compta!F383</f>
        <v>0</v>
      </c>
      <c r="F382" s="136">
        <f t="shared" si="5"/>
        <v>667.77000000000589</v>
      </c>
      <c r="G382" s="130">
        <f>Compta!H383</f>
        <v>0</v>
      </c>
    </row>
    <row r="383" spans="1:7" ht="15" customHeight="1" x14ac:dyDescent="0.25">
      <c r="A383" s="42">
        <f>Compta!B384</f>
        <v>0</v>
      </c>
      <c r="B383" s="43">
        <f>Compta!C384</f>
        <v>0</v>
      </c>
      <c r="C383" s="44">
        <f>Compta!D384</f>
        <v>0</v>
      </c>
      <c r="D383" s="144">
        <f>Compta!E384</f>
        <v>0</v>
      </c>
      <c r="E383" s="144">
        <f>Compta!F384</f>
        <v>0</v>
      </c>
      <c r="F383" s="136">
        <f t="shared" si="5"/>
        <v>-115.32999999999782</v>
      </c>
      <c r="G383" s="130">
        <f>Compta!H384</f>
        <v>0</v>
      </c>
    </row>
    <row r="384" spans="1:7" ht="15" customHeight="1" x14ac:dyDescent="0.25">
      <c r="A384" s="42">
        <f>Compta!B385</f>
        <v>0</v>
      </c>
      <c r="B384" s="43">
        <f>Compta!C385</f>
        <v>0</v>
      </c>
      <c r="C384" s="44">
        <f>Compta!D385</f>
        <v>0</v>
      </c>
      <c r="D384" s="144">
        <f>Compta!E385</f>
        <v>0</v>
      </c>
      <c r="E384" s="144">
        <f>Compta!F385</f>
        <v>0</v>
      </c>
      <c r="F384" s="136">
        <f t="shared" si="5"/>
        <v>667.77000000000589</v>
      </c>
      <c r="G384" s="130">
        <f>Compta!H385</f>
        <v>0</v>
      </c>
    </row>
    <row r="385" spans="1:7" ht="15" customHeight="1" x14ac:dyDescent="0.25">
      <c r="A385" s="42">
        <f>Compta!B386</f>
        <v>0</v>
      </c>
      <c r="B385" s="43">
        <f>Compta!C386</f>
        <v>0</v>
      </c>
      <c r="C385" s="44">
        <f>Compta!D386</f>
        <v>0</v>
      </c>
      <c r="D385" s="144">
        <f>Compta!E386</f>
        <v>0</v>
      </c>
      <c r="E385" s="144">
        <f>Compta!F386</f>
        <v>0</v>
      </c>
      <c r="F385" s="136">
        <f t="shared" si="5"/>
        <v>-115.32999999999782</v>
      </c>
      <c r="G385" s="130">
        <f>Compta!H386</f>
        <v>0</v>
      </c>
    </row>
    <row r="386" spans="1:7" ht="15" customHeight="1" x14ac:dyDescent="0.25">
      <c r="A386" s="42">
        <f>Compta!B387</f>
        <v>0</v>
      </c>
      <c r="B386" s="43">
        <f>Compta!C387</f>
        <v>0</v>
      </c>
      <c r="C386" s="44">
        <f>Compta!D387</f>
        <v>0</v>
      </c>
      <c r="D386" s="144">
        <f>Compta!E387</f>
        <v>0</v>
      </c>
      <c r="E386" s="144">
        <f>Compta!F387</f>
        <v>0</v>
      </c>
      <c r="F386" s="136">
        <f t="shared" si="5"/>
        <v>667.77000000000589</v>
      </c>
      <c r="G386" s="130">
        <f>Compta!H387</f>
        <v>0</v>
      </c>
    </row>
    <row r="387" spans="1:7" ht="15" customHeight="1" x14ac:dyDescent="0.25">
      <c r="A387" s="42">
        <f>Compta!B388</f>
        <v>0</v>
      </c>
      <c r="B387" s="43">
        <f>Compta!C388</f>
        <v>0</v>
      </c>
      <c r="C387" s="44">
        <f>Compta!D388</f>
        <v>0</v>
      </c>
      <c r="D387" s="144">
        <f>Compta!E388</f>
        <v>0</v>
      </c>
      <c r="E387" s="144">
        <f>Compta!F388</f>
        <v>0</v>
      </c>
      <c r="F387" s="136">
        <f t="shared" si="5"/>
        <v>-115.32999999999782</v>
      </c>
      <c r="G387" s="130">
        <f>Compta!H388</f>
        <v>0</v>
      </c>
    </row>
    <row r="388" spans="1:7" ht="15" customHeight="1" x14ac:dyDescent="0.25">
      <c r="A388" s="42">
        <f>Compta!B389</f>
        <v>0</v>
      </c>
      <c r="B388" s="43">
        <f>Compta!C389</f>
        <v>0</v>
      </c>
      <c r="C388" s="44">
        <f>Compta!D389</f>
        <v>0</v>
      </c>
      <c r="D388" s="144">
        <f>Compta!E389</f>
        <v>0</v>
      </c>
      <c r="E388" s="144">
        <f>Compta!F389</f>
        <v>0</v>
      </c>
      <c r="F388" s="136">
        <f t="shared" si="5"/>
        <v>667.77000000000589</v>
      </c>
      <c r="G388" s="130">
        <f>Compta!H389</f>
        <v>0</v>
      </c>
    </row>
    <row r="389" spans="1:7" ht="15" customHeight="1" x14ac:dyDescent="0.25">
      <c r="A389" s="42">
        <f>Compta!B390</f>
        <v>0</v>
      </c>
      <c r="B389" s="43">
        <f>Compta!C390</f>
        <v>0</v>
      </c>
      <c r="C389" s="44">
        <f>Compta!D390</f>
        <v>0</v>
      </c>
      <c r="D389" s="144">
        <f>Compta!E390</f>
        <v>0</v>
      </c>
      <c r="E389" s="144">
        <f>Compta!F390</f>
        <v>0</v>
      </c>
      <c r="F389" s="136">
        <f t="shared" si="5"/>
        <v>-115.32999999999782</v>
      </c>
      <c r="G389" s="130">
        <f>Compta!H390</f>
        <v>0</v>
      </c>
    </row>
    <row r="390" spans="1:7" ht="15" customHeight="1" x14ac:dyDescent="0.25">
      <c r="A390" s="42">
        <f>Compta!B391</f>
        <v>0</v>
      </c>
      <c r="B390" s="43">
        <f>Compta!C391</f>
        <v>0</v>
      </c>
      <c r="C390" s="44">
        <f>Compta!D391</f>
        <v>0</v>
      </c>
      <c r="D390" s="144">
        <f>Compta!E391</f>
        <v>0</v>
      </c>
      <c r="E390" s="144">
        <f>Compta!F391</f>
        <v>0</v>
      </c>
      <c r="F390" s="136">
        <f t="shared" si="5"/>
        <v>667.77000000000589</v>
      </c>
      <c r="G390" s="130">
        <f>Compta!H391</f>
        <v>0</v>
      </c>
    </row>
    <row r="391" spans="1:7" ht="15" customHeight="1" x14ac:dyDescent="0.25">
      <c r="A391" s="42">
        <f>Compta!B392</f>
        <v>0</v>
      </c>
      <c r="B391" s="43">
        <f>Compta!C392</f>
        <v>0</v>
      </c>
      <c r="C391" s="44">
        <f>Compta!D392</f>
        <v>0</v>
      </c>
      <c r="D391" s="144">
        <f>Compta!E392</f>
        <v>0</v>
      </c>
      <c r="E391" s="144">
        <f>Compta!F392</f>
        <v>0</v>
      </c>
      <c r="F391" s="136">
        <f t="shared" si="5"/>
        <v>-115.32999999999782</v>
      </c>
      <c r="G391" s="130">
        <f>Compta!H392</f>
        <v>0</v>
      </c>
    </row>
    <row r="392" spans="1:7" ht="15" customHeight="1" x14ac:dyDescent="0.25">
      <c r="A392" s="42">
        <f>Compta!B393</f>
        <v>0</v>
      </c>
      <c r="B392" s="43">
        <f>Compta!C393</f>
        <v>0</v>
      </c>
      <c r="C392" s="44">
        <f>Compta!D393</f>
        <v>0</v>
      </c>
      <c r="D392" s="144">
        <f>Compta!E393</f>
        <v>0</v>
      </c>
      <c r="E392" s="144">
        <f>Compta!F393</f>
        <v>0</v>
      </c>
      <c r="F392" s="136">
        <f t="shared" ref="F392:F455" si="6">+F390+D392-E392</f>
        <v>667.77000000000589</v>
      </c>
      <c r="G392" s="130">
        <f>Compta!H393</f>
        <v>0</v>
      </c>
    </row>
    <row r="393" spans="1:7" ht="15" customHeight="1" x14ac:dyDescent="0.25">
      <c r="A393" s="42">
        <f>Compta!B394</f>
        <v>0</v>
      </c>
      <c r="B393" s="43">
        <f>Compta!C394</f>
        <v>0</v>
      </c>
      <c r="C393" s="44">
        <f>Compta!D394</f>
        <v>0</v>
      </c>
      <c r="D393" s="144">
        <f>Compta!E394</f>
        <v>0</v>
      </c>
      <c r="E393" s="144">
        <f>Compta!F394</f>
        <v>0</v>
      </c>
      <c r="F393" s="136">
        <f t="shared" si="6"/>
        <v>-115.32999999999782</v>
      </c>
      <c r="G393" s="130">
        <f>Compta!H394</f>
        <v>0</v>
      </c>
    </row>
    <row r="394" spans="1:7" ht="15" customHeight="1" x14ac:dyDescent="0.25">
      <c r="A394" s="42">
        <f>Compta!B395</f>
        <v>0</v>
      </c>
      <c r="B394" s="43">
        <f>Compta!C395</f>
        <v>0</v>
      </c>
      <c r="C394" s="44">
        <f>Compta!D395</f>
        <v>0</v>
      </c>
      <c r="D394" s="144">
        <f>Compta!E395</f>
        <v>0</v>
      </c>
      <c r="E394" s="144">
        <f>Compta!F395</f>
        <v>0</v>
      </c>
      <c r="F394" s="136">
        <f t="shared" si="6"/>
        <v>667.77000000000589</v>
      </c>
      <c r="G394" s="130">
        <f>Compta!H395</f>
        <v>0</v>
      </c>
    </row>
    <row r="395" spans="1:7" ht="15" customHeight="1" x14ac:dyDescent="0.25">
      <c r="A395" s="42">
        <f>Compta!B396</f>
        <v>0</v>
      </c>
      <c r="B395" s="43">
        <f>Compta!C396</f>
        <v>0</v>
      </c>
      <c r="C395" s="44">
        <f>Compta!D396</f>
        <v>0</v>
      </c>
      <c r="D395" s="144">
        <f>Compta!E396</f>
        <v>0</v>
      </c>
      <c r="E395" s="144">
        <f>Compta!F396</f>
        <v>0</v>
      </c>
      <c r="F395" s="136">
        <f t="shared" si="6"/>
        <v>-115.32999999999782</v>
      </c>
      <c r="G395" s="130">
        <f>Compta!H396</f>
        <v>0</v>
      </c>
    </row>
    <row r="396" spans="1:7" ht="15" customHeight="1" x14ac:dyDescent="0.25">
      <c r="A396" s="42">
        <f>Compta!B397</f>
        <v>0</v>
      </c>
      <c r="B396" s="43">
        <f>Compta!C397</f>
        <v>0</v>
      </c>
      <c r="C396" s="44">
        <f>Compta!D397</f>
        <v>0</v>
      </c>
      <c r="D396" s="144">
        <f>Compta!E397</f>
        <v>0</v>
      </c>
      <c r="E396" s="144">
        <f>Compta!F397</f>
        <v>0</v>
      </c>
      <c r="F396" s="136">
        <f t="shared" si="6"/>
        <v>667.77000000000589</v>
      </c>
      <c r="G396" s="130">
        <f>Compta!H397</f>
        <v>0</v>
      </c>
    </row>
    <row r="397" spans="1:7" ht="15" customHeight="1" x14ac:dyDescent="0.25">
      <c r="A397" s="42">
        <f>Compta!B398</f>
        <v>0</v>
      </c>
      <c r="B397" s="43">
        <f>Compta!C398</f>
        <v>0</v>
      </c>
      <c r="C397" s="44">
        <f>Compta!D398</f>
        <v>0</v>
      </c>
      <c r="D397" s="144">
        <f>Compta!E398</f>
        <v>0</v>
      </c>
      <c r="E397" s="144">
        <f>Compta!F398</f>
        <v>0</v>
      </c>
      <c r="F397" s="136">
        <f t="shared" si="6"/>
        <v>-115.32999999999782</v>
      </c>
      <c r="G397" s="130">
        <f>Compta!H398</f>
        <v>0</v>
      </c>
    </row>
    <row r="398" spans="1:7" ht="15" customHeight="1" x14ac:dyDescent="0.25">
      <c r="A398" s="42">
        <f>Compta!B399</f>
        <v>0</v>
      </c>
      <c r="B398" s="43">
        <f>Compta!C399</f>
        <v>0</v>
      </c>
      <c r="C398" s="44">
        <f>Compta!D399</f>
        <v>0</v>
      </c>
      <c r="D398" s="144">
        <f>Compta!E399</f>
        <v>0</v>
      </c>
      <c r="E398" s="144">
        <f>Compta!F399</f>
        <v>0</v>
      </c>
      <c r="F398" s="136">
        <f t="shared" si="6"/>
        <v>667.77000000000589</v>
      </c>
      <c r="G398" s="130">
        <f>Compta!H399</f>
        <v>0</v>
      </c>
    </row>
    <row r="399" spans="1:7" ht="15" customHeight="1" x14ac:dyDescent="0.25">
      <c r="A399" s="42">
        <f>Compta!B400</f>
        <v>0</v>
      </c>
      <c r="B399" s="43">
        <f>Compta!C400</f>
        <v>0</v>
      </c>
      <c r="C399" s="44">
        <f>Compta!D400</f>
        <v>0</v>
      </c>
      <c r="D399" s="144">
        <f>Compta!E400</f>
        <v>0</v>
      </c>
      <c r="E399" s="144">
        <f>Compta!F400</f>
        <v>0</v>
      </c>
      <c r="F399" s="136">
        <f t="shared" si="6"/>
        <v>-115.32999999999782</v>
      </c>
      <c r="G399" s="130">
        <f>Compta!H400</f>
        <v>0</v>
      </c>
    </row>
    <row r="400" spans="1:7" ht="15" customHeight="1" x14ac:dyDescent="0.25">
      <c r="A400" s="42">
        <f>Compta!B401</f>
        <v>0</v>
      </c>
      <c r="B400" s="43">
        <f>Compta!C401</f>
        <v>0</v>
      </c>
      <c r="C400" s="44">
        <f>Compta!D401</f>
        <v>0</v>
      </c>
      <c r="D400" s="144">
        <f>Compta!E401</f>
        <v>0</v>
      </c>
      <c r="E400" s="144">
        <f>Compta!F401</f>
        <v>0</v>
      </c>
      <c r="F400" s="136">
        <f t="shared" si="6"/>
        <v>667.77000000000589</v>
      </c>
      <c r="G400" s="130">
        <f>Compta!H401</f>
        <v>0</v>
      </c>
    </row>
    <row r="401" spans="1:7" ht="15" customHeight="1" x14ac:dyDescent="0.25">
      <c r="A401" s="42">
        <f>Compta!B402</f>
        <v>0</v>
      </c>
      <c r="B401" s="43">
        <f>Compta!C402</f>
        <v>0</v>
      </c>
      <c r="C401" s="44">
        <f>Compta!D402</f>
        <v>0</v>
      </c>
      <c r="D401" s="144">
        <f>Compta!E402</f>
        <v>0</v>
      </c>
      <c r="E401" s="144">
        <f>Compta!F402</f>
        <v>0</v>
      </c>
      <c r="F401" s="136">
        <f t="shared" si="6"/>
        <v>-115.32999999999782</v>
      </c>
      <c r="G401" s="130">
        <f>Compta!H402</f>
        <v>0</v>
      </c>
    </row>
    <row r="402" spans="1:7" ht="15" customHeight="1" x14ac:dyDescent="0.25">
      <c r="A402" s="42">
        <f>Compta!B403</f>
        <v>0</v>
      </c>
      <c r="B402" s="43">
        <f>Compta!C403</f>
        <v>0</v>
      </c>
      <c r="C402" s="44">
        <f>Compta!D403</f>
        <v>0</v>
      </c>
      <c r="D402" s="144">
        <f>Compta!E403</f>
        <v>0</v>
      </c>
      <c r="E402" s="144">
        <f>Compta!F403</f>
        <v>0</v>
      </c>
      <c r="F402" s="136">
        <f t="shared" si="6"/>
        <v>667.77000000000589</v>
      </c>
      <c r="G402" s="130">
        <f>Compta!H403</f>
        <v>0</v>
      </c>
    </row>
    <row r="403" spans="1:7" ht="15" customHeight="1" x14ac:dyDescent="0.25">
      <c r="A403" s="42">
        <f>Compta!B404</f>
        <v>0</v>
      </c>
      <c r="B403" s="43">
        <f>Compta!C404</f>
        <v>0</v>
      </c>
      <c r="C403" s="44">
        <f>Compta!D404</f>
        <v>0</v>
      </c>
      <c r="D403" s="144">
        <f>Compta!E404</f>
        <v>0</v>
      </c>
      <c r="E403" s="144">
        <f>Compta!F404</f>
        <v>0</v>
      </c>
      <c r="F403" s="136">
        <f t="shared" si="6"/>
        <v>-115.32999999999782</v>
      </c>
      <c r="G403" s="130">
        <f>Compta!H404</f>
        <v>0</v>
      </c>
    </row>
    <row r="404" spans="1:7" ht="15" customHeight="1" x14ac:dyDescent="0.25">
      <c r="A404" s="42">
        <f>Compta!B405</f>
        <v>0</v>
      </c>
      <c r="B404" s="43">
        <f>Compta!C405</f>
        <v>0</v>
      </c>
      <c r="C404" s="44">
        <f>Compta!D405</f>
        <v>0</v>
      </c>
      <c r="D404" s="144">
        <f>Compta!E405</f>
        <v>0</v>
      </c>
      <c r="E404" s="144">
        <f>Compta!F405</f>
        <v>0</v>
      </c>
      <c r="F404" s="136">
        <f t="shared" si="6"/>
        <v>667.77000000000589</v>
      </c>
      <c r="G404" s="130">
        <f>Compta!H405</f>
        <v>0</v>
      </c>
    </row>
    <row r="405" spans="1:7" ht="15" customHeight="1" x14ac:dyDescent="0.25">
      <c r="A405" s="42">
        <f>Compta!B406</f>
        <v>0</v>
      </c>
      <c r="B405" s="43">
        <f>Compta!C406</f>
        <v>0</v>
      </c>
      <c r="C405" s="44">
        <f>Compta!D406</f>
        <v>0</v>
      </c>
      <c r="D405" s="144">
        <f>Compta!E406</f>
        <v>0</v>
      </c>
      <c r="E405" s="144">
        <f>Compta!F406</f>
        <v>0</v>
      </c>
      <c r="F405" s="136">
        <f t="shared" si="6"/>
        <v>-115.32999999999782</v>
      </c>
      <c r="G405" s="130">
        <f>Compta!H406</f>
        <v>0</v>
      </c>
    </row>
    <row r="406" spans="1:7" ht="15" customHeight="1" x14ac:dyDescent="0.25">
      <c r="A406" s="42">
        <f>Compta!B407</f>
        <v>0</v>
      </c>
      <c r="B406" s="43">
        <f>Compta!C407</f>
        <v>0</v>
      </c>
      <c r="C406" s="44">
        <f>Compta!D407</f>
        <v>0</v>
      </c>
      <c r="D406" s="144">
        <f>Compta!E407</f>
        <v>0</v>
      </c>
      <c r="E406" s="144">
        <f>Compta!F407</f>
        <v>0</v>
      </c>
      <c r="F406" s="136">
        <f t="shared" si="6"/>
        <v>667.77000000000589</v>
      </c>
      <c r="G406" s="130">
        <f>Compta!H407</f>
        <v>0</v>
      </c>
    </row>
    <row r="407" spans="1:7" ht="15" customHeight="1" x14ac:dyDescent="0.25">
      <c r="A407" s="42">
        <f>Compta!B408</f>
        <v>0</v>
      </c>
      <c r="B407" s="43">
        <f>Compta!C408</f>
        <v>0</v>
      </c>
      <c r="C407" s="44">
        <f>Compta!D408</f>
        <v>0</v>
      </c>
      <c r="D407" s="144">
        <f>Compta!E408</f>
        <v>0</v>
      </c>
      <c r="E407" s="144">
        <f>Compta!F408</f>
        <v>0</v>
      </c>
      <c r="F407" s="136">
        <f t="shared" si="6"/>
        <v>-115.32999999999782</v>
      </c>
      <c r="G407" s="130">
        <f>Compta!H408</f>
        <v>0</v>
      </c>
    </row>
    <row r="408" spans="1:7" ht="15" customHeight="1" x14ac:dyDescent="0.25">
      <c r="A408" s="42">
        <f>Compta!B409</f>
        <v>0</v>
      </c>
      <c r="B408" s="43">
        <f>Compta!C409</f>
        <v>0</v>
      </c>
      <c r="C408" s="44">
        <f>Compta!D409</f>
        <v>0</v>
      </c>
      <c r="D408" s="144">
        <f>Compta!E409</f>
        <v>0</v>
      </c>
      <c r="E408" s="144">
        <f>Compta!F409</f>
        <v>0</v>
      </c>
      <c r="F408" s="136">
        <f t="shared" si="6"/>
        <v>667.77000000000589</v>
      </c>
      <c r="G408" s="130">
        <f>Compta!H409</f>
        <v>0</v>
      </c>
    </row>
    <row r="409" spans="1:7" ht="15" customHeight="1" x14ac:dyDescent="0.25">
      <c r="A409" s="42">
        <f>Compta!B410</f>
        <v>0</v>
      </c>
      <c r="B409" s="43">
        <f>Compta!C410</f>
        <v>0</v>
      </c>
      <c r="C409" s="44">
        <f>Compta!D410</f>
        <v>0</v>
      </c>
      <c r="D409" s="144">
        <f>Compta!E410</f>
        <v>0</v>
      </c>
      <c r="E409" s="144">
        <f>Compta!F410</f>
        <v>0</v>
      </c>
      <c r="F409" s="136">
        <f t="shared" si="6"/>
        <v>-115.32999999999782</v>
      </c>
      <c r="G409" s="130">
        <f>Compta!H410</f>
        <v>0</v>
      </c>
    </row>
    <row r="410" spans="1:7" ht="15" customHeight="1" x14ac:dyDescent="0.25">
      <c r="A410" s="42">
        <f>Compta!B411</f>
        <v>0</v>
      </c>
      <c r="B410" s="43">
        <f>Compta!C411</f>
        <v>0</v>
      </c>
      <c r="C410" s="44">
        <f>Compta!D411</f>
        <v>0</v>
      </c>
      <c r="D410" s="144">
        <f>Compta!E411</f>
        <v>0</v>
      </c>
      <c r="E410" s="144">
        <f>Compta!F411</f>
        <v>0</v>
      </c>
      <c r="F410" s="136">
        <f t="shared" si="6"/>
        <v>667.77000000000589</v>
      </c>
      <c r="G410" s="130">
        <f>Compta!H411</f>
        <v>0</v>
      </c>
    </row>
    <row r="411" spans="1:7" ht="15" customHeight="1" x14ac:dyDescent="0.25">
      <c r="A411" s="42">
        <f>Compta!B412</f>
        <v>0</v>
      </c>
      <c r="B411" s="43">
        <f>Compta!C412</f>
        <v>0</v>
      </c>
      <c r="C411" s="44">
        <f>Compta!D412</f>
        <v>0</v>
      </c>
      <c r="D411" s="144">
        <f>Compta!E412</f>
        <v>0</v>
      </c>
      <c r="E411" s="144">
        <f>Compta!F412</f>
        <v>0</v>
      </c>
      <c r="F411" s="136">
        <f t="shared" si="6"/>
        <v>-115.32999999999782</v>
      </c>
      <c r="G411" s="130">
        <f>Compta!H412</f>
        <v>0</v>
      </c>
    </row>
    <row r="412" spans="1:7" ht="15" customHeight="1" x14ac:dyDescent="0.25">
      <c r="A412" s="42">
        <f>Compta!B413</f>
        <v>0</v>
      </c>
      <c r="B412" s="43">
        <f>Compta!C413</f>
        <v>0</v>
      </c>
      <c r="C412" s="44">
        <f>Compta!D413</f>
        <v>0</v>
      </c>
      <c r="D412" s="144">
        <f>Compta!E413</f>
        <v>0</v>
      </c>
      <c r="E412" s="144">
        <f>Compta!F413</f>
        <v>0</v>
      </c>
      <c r="F412" s="136">
        <f t="shared" si="6"/>
        <v>667.77000000000589</v>
      </c>
      <c r="G412" s="130">
        <f>Compta!H413</f>
        <v>0</v>
      </c>
    </row>
    <row r="413" spans="1:7" ht="15" customHeight="1" x14ac:dyDescent="0.25">
      <c r="A413" s="42">
        <f>Compta!B414</f>
        <v>0</v>
      </c>
      <c r="B413" s="43">
        <f>Compta!C414</f>
        <v>0</v>
      </c>
      <c r="C413" s="44">
        <f>Compta!D414</f>
        <v>0</v>
      </c>
      <c r="D413" s="144">
        <f>Compta!E414</f>
        <v>0</v>
      </c>
      <c r="E413" s="144">
        <f>Compta!F414</f>
        <v>0</v>
      </c>
      <c r="F413" s="136">
        <f t="shared" si="6"/>
        <v>-115.32999999999782</v>
      </c>
      <c r="G413" s="130">
        <f>Compta!H414</f>
        <v>0</v>
      </c>
    </row>
    <row r="414" spans="1:7" ht="15" customHeight="1" x14ac:dyDescent="0.25">
      <c r="A414" s="42">
        <f>Compta!B415</f>
        <v>0</v>
      </c>
      <c r="B414" s="43">
        <f>Compta!C415</f>
        <v>0</v>
      </c>
      <c r="C414" s="44">
        <f>Compta!D415</f>
        <v>0</v>
      </c>
      <c r="D414" s="144">
        <f>Compta!E415</f>
        <v>0</v>
      </c>
      <c r="E414" s="144">
        <f>Compta!F415</f>
        <v>0</v>
      </c>
      <c r="F414" s="136">
        <f t="shared" si="6"/>
        <v>667.77000000000589</v>
      </c>
      <c r="G414" s="130">
        <f>Compta!H415</f>
        <v>0</v>
      </c>
    </row>
    <row r="415" spans="1:7" ht="15" customHeight="1" x14ac:dyDescent="0.25">
      <c r="A415" s="42">
        <f>Compta!B416</f>
        <v>0</v>
      </c>
      <c r="B415" s="43">
        <f>Compta!C416</f>
        <v>0</v>
      </c>
      <c r="C415" s="44">
        <f>Compta!D416</f>
        <v>0</v>
      </c>
      <c r="D415" s="144">
        <f>Compta!E416</f>
        <v>0</v>
      </c>
      <c r="E415" s="144">
        <f>Compta!F416</f>
        <v>0</v>
      </c>
      <c r="F415" s="136">
        <f t="shared" si="6"/>
        <v>-115.32999999999782</v>
      </c>
      <c r="G415" s="130">
        <f>Compta!H416</f>
        <v>0</v>
      </c>
    </row>
    <row r="416" spans="1:7" ht="15" customHeight="1" x14ac:dyDescent="0.25">
      <c r="A416" s="42">
        <f>Compta!B417</f>
        <v>0</v>
      </c>
      <c r="B416" s="43">
        <f>Compta!C417</f>
        <v>0</v>
      </c>
      <c r="C416" s="44">
        <f>Compta!D417</f>
        <v>0</v>
      </c>
      <c r="D416" s="144">
        <f>Compta!E417</f>
        <v>0</v>
      </c>
      <c r="E416" s="144">
        <f>Compta!F417</f>
        <v>0</v>
      </c>
      <c r="F416" s="136">
        <f t="shared" si="6"/>
        <v>667.77000000000589</v>
      </c>
      <c r="G416" s="130">
        <f>Compta!H417</f>
        <v>0</v>
      </c>
    </row>
    <row r="417" spans="1:7" ht="15" customHeight="1" x14ac:dyDescent="0.25">
      <c r="A417" s="42">
        <f>Compta!B418</f>
        <v>0</v>
      </c>
      <c r="B417" s="43">
        <f>Compta!C418</f>
        <v>0</v>
      </c>
      <c r="C417" s="44">
        <f>Compta!D418</f>
        <v>0</v>
      </c>
      <c r="D417" s="144">
        <f>Compta!E418</f>
        <v>0</v>
      </c>
      <c r="E417" s="144">
        <f>Compta!F418</f>
        <v>0</v>
      </c>
      <c r="F417" s="136">
        <f t="shared" si="6"/>
        <v>-115.32999999999782</v>
      </c>
      <c r="G417" s="130">
        <f>Compta!H418</f>
        <v>0</v>
      </c>
    </row>
    <row r="418" spans="1:7" ht="15" customHeight="1" x14ac:dyDescent="0.25">
      <c r="A418" s="42">
        <f>Compta!B419</f>
        <v>0</v>
      </c>
      <c r="B418" s="43">
        <f>Compta!C419</f>
        <v>0</v>
      </c>
      <c r="C418" s="44">
        <f>Compta!D419</f>
        <v>0</v>
      </c>
      <c r="D418" s="144">
        <f>Compta!E419</f>
        <v>0</v>
      </c>
      <c r="E418" s="144">
        <f>Compta!F419</f>
        <v>0</v>
      </c>
      <c r="F418" s="136">
        <f t="shared" si="6"/>
        <v>667.77000000000589</v>
      </c>
      <c r="G418" s="130">
        <f>Compta!H419</f>
        <v>0</v>
      </c>
    </row>
    <row r="419" spans="1:7" ht="15" customHeight="1" x14ac:dyDescent="0.25">
      <c r="A419" s="42">
        <f>Compta!B420</f>
        <v>0</v>
      </c>
      <c r="B419" s="43">
        <f>Compta!C420</f>
        <v>0</v>
      </c>
      <c r="C419" s="44">
        <f>Compta!D420</f>
        <v>0</v>
      </c>
      <c r="D419" s="144">
        <f>Compta!E420</f>
        <v>0</v>
      </c>
      <c r="E419" s="144">
        <f>Compta!F420</f>
        <v>0</v>
      </c>
      <c r="F419" s="136">
        <f t="shared" si="6"/>
        <v>-115.32999999999782</v>
      </c>
      <c r="G419" s="130">
        <f>Compta!H420</f>
        <v>0</v>
      </c>
    </row>
    <row r="420" spans="1:7" ht="15" customHeight="1" x14ac:dyDescent="0.25">
      <c r="A420" s="42">
        <f>Compta!B421</f>
        <v>0</v>
      </c>
      <c r="B420" s="43">
        <f>Compta!C421</f>
        <v>0</v>
      </c>
      <c r="C420" s="44">
        <f>Compta!D421</f>
        <v>0</v>
      </c>
      <c r="D420" s="144">
        <f>Compta!E421</f>
        <v>0</v>
      </c>
      <c r="E420" s="144">
        <f>Compta!F421</f>
        <v>0</v>
      </c>
      <c r="F420" s="136">
        <f t="shared" si="6"/>
        <v>667.77000000000589</v>
      </c>
      <c r="G420" s="130">
        <f>Compta!H421</f>
        <v>0</v>
      </c>
    </row>
    <row r="421" spans="1:7" ht="15" customHeight="1" x14ac:dyDescent="0.25">
      <c r="A421" s="42">
        <f>Compta!B422</f>
        <v>0</v>
      </c>
      <c r="B421" s="43">
        <f>Compta!C422</f>
        <v>0</v>
      </c>
      <c r="C421" s="44">
        <f>Compta!D422</f>
        <v>0</v>
      </c>
      <c r="D421" s="144">
        <f>Compta!E422</f>
        <v>0</v>
      </c>
      <c r="E421" s="144">
        <f>Compta!F422</f>
        <v>0</v>
      </c>
      <c r="F421" s="136">
        <f t="shared" si="6"/>
        <v>-115.32999999999782</v>
      </c>
      <c r="G421" s="130">
        <f>Compta!H422</f>
        <v>0</v>
      </c>
    </row>
    <row r="422" spans="1:7" ht="15" customHeight="1" x14ac:dyDescent="0.25">
      <c r="A422" s="42">
        <f>Compta!B423</f>
        <v>0</v>
      </c>
      <c r="B422" s="43">
        <f>Compta!C423</f>
        <v>0</v>
      </c>
      <c r="C422" s="44">
        <f>Compta!D423</f>
        <v>0</v>
      </c>
      <c r="D422" s="144">
        <f>Compta!E423</f>
        <v>0</v>
      </c>
      <c r="E422" s="144">
        <f>Compta!F423</f>
        <v>0</v>
      </c>
      <c r="F422" s="136">
        <f t="shared" si="6"/>
        <v>667.77000000000589</v>
      </c>
      <c r="G422" s="130">
        <f>Compta!H423</f>
        <v>0</v>
      </c>
    </row>
    <row r="423" spans="1:7" ht="15" customHeight="1" x14ac:dyDescent="0.25">
      <c r="A423" s="42">
        <f>Compta!B424</f>
        <v>0</v>
      </c>
      <c r="B423" s="43">
        <f>Compta!C424</f>
        <v>0</v>
      </c>
      <c r="C423" s="44">
        <f>Compta!D424</f>
        <v>0</v>
      </c>
      <c r="D423" s="144">
        <f>Compta!E424</f>
        <v>0</v>
      </c>
      <c r="E423" s="144">
        <f>Compta!F424</f>
        <v>0</v>
      </c>
      <c r="F423" s="136">
        <f t="shared" si="6"/>
        <v>-115.32999999999782</v>
      </c>
      <c r="G423" s="130">
        <f>Compta!H424</f>
        <v>0</v>
      </c>
    </row>
    <row r="424" spans="1:7" ht="15" customHeight="1" x14ac:dyDescent="0.25">
      <c r="A424" s="42">
        <f>Compta!B425</f>
        <v>0</v>
      </c>
      <c r="B424" s="43">
        <f>Compta!C425</f>
        <v>0</v>
      </c>
      <c r="C424" s="44">
        <f>Compta!D425</f>
        <v>0</v>
      </c>
      <c r="D424" s="144">
        <f>Compta!E425</f>
        <v>0</v>
      </c>
      <c r="E424" s="144">
        <f>Compta!F425</f>
        <v>0</v>
      </c>
      <c r="F424" s="136">
        <f t="shared" si="6"/>
        <v>667.77000000000589</v>
      </c>
      <c r="G424" s="130">
        <f>Compta!H425</f>
        <v>0</v>
      </c>
    </row>
    <row r="425" spans="1:7" ht="15" customHeight="1" x14ac:dyDescent="0.25">
      <c r="A425" s="42">
        <f>Compta!B426</f>
        <v>0</v>
      </c>
      <c r="B425" s="43">
        <f>Compta!C426</f>
        <v>0</v>
      </c>
      <c r="C425" s="44">
        <f>Compta!D426</f>
        <v>0</v>
      </c>
      <c r="D425" s="144">
        <f>Compta!E426</f>
        <v>0</v>
      </c>
      <c r="E425" s="144">
        <f>Compta!F426</f>
        <v>0</v>
      </c>
      <c r="F425" s="136">
        <f t="shared" si="6"/>
        <v>-115.32999999999782</v>
      </c>
      <c r="G425" s="130">
        <f>Compta!H426</f>
        <v>0</v>
      </c>
    </row>
    <row r="426" spans="1:7" ht="15" customHeight="1" x14ac:dyDescent="0.25">
      <c r="A426" s="42">
        <f>Compta!B427</f>
        <v>0</v>
      </c>
      <c r="B426" s="43">
        <f>Compta!C427</f>
        <v>0</v>
      </c>
      <c r="C426" s="44">
        <f>Compta!D427</f>
        <v>0</v>
      </c>
      <c r="D426" s="144">
        <f>Compta!E427</f>
        <v>0</v>
      </c>
      <c r="E426" s="144">
        <f>Compta!F427</f>
        <v>0</v>
      </c>
      <c r="F426" s="136">
        <f t="shared" si="6"/>
        <v>667.77000000000589</v>
      </c>
      <c r="G426" s="130">
        <f>Compta!H427</f>
        <v>0</v>
      </c>
    </row>
    <row r="427" spans="1:7" ht="15" customHeight="1" x14ac:dyDescent="0.25">
      <c r="A427" s="42">
        <f>Compta!B428</f>
        <v>0</v>
      </c>
      <c r="B427" s="43">
        <f>Compta!C428</f>
        <v>0</v>
      </c>
      <c r="C427" s="44">
        <f>Compta!D428</f>
        <v>0</v>
      </c>
      <c r="D427" s="144">
        <f>Compta!E428</f>
        <v>0</v>
      </c>
      <c r="E427" s="144">
        <f>Compta!F428</f>
        <v>0</v>
      </c>
      <c r="F427" s="136">
        <f t="shared" si="6"/>
        <v>-115.32999999999782</v>
      </c>
      <c r="G427" s="130">
        <f>Compta!H428</f>
        <v>0</v>
      </c>
    </row>
    <row r="428" spans="1:7" ht="15" customHeight="1" x14ac:dyDescent="0.25">
      <c r="A428" s="42">
        <f>Compta!B429</f>
        <v>0</v>
      </c>
      <c r="B428" s="43">
        <f>Compta!C429</f>
        <v>0</v>
      </c>
      <c r="C428" s="44">
        <f>Compta!D429</f>
        <v>0</v>
      </c>
      <c r="D428" s="144">
        <f>Compta!E429</f>
        <v>0</v>
      </c>
      <c r="E428" s="144">
        <f>Compta!F429</f>
        <v>0</v>
      </c>
      <c r="F428" s="136">
        <f t="shared" si="6"/>
        <v>667.77000000000589</v>
      </c>
      <c r="G428" s="130">
        <f>Compta!H429</f>
        <v>0</v>
      </c>
    </row>
    <row r="429" spans="1:7" ht="15" customHeight="1" x14ac:dyDescent="0.25">
      <c r="A429" s="42">
        <f>Compta!B430</f>
        <v>0</v>
      </c>
      <c r="B429" s="43">
        <f>Compta!C430</f>
        <v>0</v>
      </c>
      <c r="C429" s="44">
        <f>Compta!D430</f>
        <v>0</v>
      </c>
      <c r="D429" s="144">
        <f>Compta!E430</f>
        <v>0</v>
      </c>
      <c r="E429" s="144">
        <f>Compta!F430</f>
        <v>0</v>
      </c>
      <c r="F429" s="136">
        <f t="shared" si="6"/>
        <v>-115.32999999999782</v>
      </c>
      <c r="G429" s="130">
        <f>Compta!H430</f>
        <v>0</v>
      </c>
    </row>
    <row r="430" spans="1:7" ht="15" customHeight="1" x14ac:dyDescent="0.25">
      <c r="A430" s="42">
        <f>Compta!B431</f>
        <v>0</v>
      </c>
      <c r="B430" s="43">
        <f>Compta!C431</f>
        <v>0</v>
      </c>
      <c r="C430" s="44">
        <f>Compta!D431</f>
        <v>0</v>
      </c>
      <c r="D430" s="144">
        <f>Compta!E431</f>
        <v>0</v>
      </c>
      <c r="E430" s="144">
        <f>Compta!F431</f>
        <v>0</v>
      </c>
      <c r="F430" s="136">
        <f t="shared" si="6"/>
        <v>667.77000000000589</v>
      </c>
      <c r="G430" s="130">
        <f>Compta!H431</f>
        <v>0</v>
      </c>
    </row>
    <row r="431" spans="1:7" ht="15" customHeight="1" x14ac:dyDescent="0.25">
      <c r="A431" s="42">
        <f>Compta!B432</f>
        <v>0</v>
      </c>
      <c r="B431" s="43">
        <f>Compta!C432</f>
        <v>0</v>
      </c>
      <c r="C431" s="44">
        <f>Compta!D432</f>
        <v>0</v>
      </c>
      <c r="D431" s="144">
        <f>Compta!E432</f>
        <v>0</v>
      </c>
      <c r="E431" s="144">
        <f>Compta!F432</f>
        <v>0</v>
      </c>
      <c r="F431" s="136">
        <f t="shared" si="6"/>
        <v>-115.32999999999782</v>
      </c>
      <c r="G431" s="130">
        <f>Compta!H432</f>
        <v>0</v>
      </c>
    </row>
    <row r="432" spans="1:7" ht="15" customHeight="1" x14ac:dyDescent="0.25">
      <c r="A432" s="42">
        <f>Compta!B433</f>
        <v>0</v>
      </c>
      <c r="B432" s="43">
        <f>Compta!C433</f>
        <v>0</v>
      </c>
      <c r="C432" s="44">
        <f>Compta!D433</f>
        <v>0</v>
      </c>
      <c r="D432" s="144">
        <f>Compta!E433</f>
        <v>0</v>
      </c>
      <c r="E432" s="144">
        <f>Compta!F433</f>
        <v>0</v>
      </c>
      <c r="F432" s="136">
        <f t="shared" si="6"/>
        <v>667.77000000000589</v>
      </c>
      <c r="G432" s="130">
        <f>Compta!H433</f>
        <v>0</v>
      </c>
    </row>
    <row r="433" spans="1:7" ht="15" customHeight="1" x14ac:dyDescent="0.25">
      <c r="A433" s="42">
        <f>Compta!B434</f>
        <v>0</v>
      </c>
      <c r="B433" s="43">
        <f>Compta!C434</f>
        <v>0</v>
      </c>
      <c r="C433" s="44">
        <f>Compta!D434</f>
        <v>0</v>
      </c>
      <c r="D433" s="144">
        <f>Compta!E434</f>
        <v>0</v>
      </c>
      <c r="E433" s="144">
        <f>Compta!F434</f>
        <v>0</v>
      </c>
      <c r="F433" s="136">
        <f t="shared" si="6"/>
        <v>-115.32999999999782</v>
      </c>
      <c r="G433" s="130">
        <f>Compta!H434</f>
        <v>0</v>
      </c>
    </row>
    <row r="434" spans="1:7" ht="15" customHeight="1" x14ac:dyDescent="0.25">
      <c r="A434" s="42">
        <f>Compta!B435</f>
        <v>0</v>
      </c>
      <c r="B434" s="43">
        <f>Compta!C435</f>
        <v>0</v>
      </c>
      <c r="C434" s="44">
        <f>Compta!D435</f>
        <v>0</v>
      </c>
      <c r="D434" s="144">
        <f>Compta!E435</f>
        <v>0</v>
      </c>
      <c r="E434" s="144">
        <f>Compta!F435</f>
        <v>0</v>
      </c>
      <c r="F434" s="136">
        <f t="shared" si="6"/>
        <v>667.77000000000589</v>
      </c>
      <c r="G434" s="130">
        <f>Compta!H435</f>
        <v>0</v>
      </c>
    </row>
    <row r="435" spans="1:7" ht="15" customHeight="1" x14ac:dyDescent="0.25">
      <c r="A435" s="42">
        <f>Compta!B436</f>
        <v>0</v>
      </c>
      <c r="B435" s="43">
        <f>Compta!C436</f>
        <v>0</v>
      </c>
      <c r="C435" s="44">
        <f>Compta!D436</f>
        <v>0</v>
      </c>
      <c r="D435" s="144">
        <f>Compta!E436</f>
        <v>0</v>
      </c>
      <c r="E435" s="144">
        <f>Compta!F436</f>
        <v>0</v>
      </c>
      <c r="F435" s="136">
        <f t="shared" si="6"/>
        <v>-115.32999999999782</v>
      </c>
      <c r="G435" s="130">
        <f>Compta!H436</f>
        <v>0</v>
      </c>
    </row>
    <row r="436" spans="1:7" ht="15" customHeight="1" x14ac:dyDescent="0.25">
      <c r="A436" s="42">
        <f>Compta!B437</f>
        <v>0</v>
      </c>
      <c r="B436" s="43">
        <f>Compta!C437</f>
        <v>0</v>
      </c>
      <c r="C436" s="44">
        <f>Compta!D437</f>
        <v>0</v>
      </c>
      <c r="D436" s="144">
        <f>Compta!E437</f>
        <v>0</v>
      </c>
      <c r="E436" s="144">
        <f>Compta!F437</f>
        <v>0</v>
      </c>
      <c r="F436" s="136">
        <f t="shared" si="6"/>
        <v>667.77000000000589</v>
      </c>
      <c r="G436" s="130">
        <f>Compta!H437</f>
        <v>0</v>
      </c>
    </row>
    <row r="437" spans="1:7" ht="15" customHeight="1" x14ac:dyDescent="0.25">
      <c r="A437" s="42">
        <f>Compta!B438</f>
        <v>0</v>
      </c>
      <c r="B437" s="43">
        <f>Compta!C438</f>
        <v>0</v>
      </c>
      <c r="C437" s="44">
        <f>Compta!D438</f>
        <v>0</v>
      </c>
      <c r="D437" s="144">
        <f>Compta!E438</f>
        <v>0</v>
      </c>
      <c r="E437" s="144">
        <f>Compta!F438</f>
        <v>0</v>
      </c>
      <c r="F437" s="136">
        <f t="shared" si="6"/>
        <v>-115.32999999999782</v>
      </c>
      <c r="G437" s="130">
        <f>Compta!H438</f>
        <v>0</v>
      </c>
    </row>
    <row r="438" spans="1:7" ht="15" customHeight="1" x14ac:dyDescent="0.25">
      <c r="A438" s="42">
        <f>Compta!B439</f>
        <v>0</v>
      </c>
      <c r="B438" s="43">
        <f>Compta!C439</f>
        <v>0</v>
      </c>
      <c r="C438" s="44">
        <f>Compta!D439</f>
        <v>0</v>
      </c>
      <c r="D438" s="144">
        <f>Compta!E439</f>
        <v>0</v>
      </c>
      <c r="E438" s="144">
        <f>Compta!F439</f>
        <v>0</v>
      </c>
      <c r="F438" s="136">
        <f t="shared" si="6"/>
        <v>667.77000000000589</v>
      </c>
      <c r="G438" s="130">
        <f>Compta!H439</f>
        <v>0</v>
      </c>
    </row>
    <row r="439" spans="1:7" ht="15" customHeight="1" x14ac:dyDescent="0.25">
      <c r="A439" s="42">
        <f>Compta!B440</f>
        <v>0</v>
      </c>
      <c r="B439" s="43">
        <f>Compta!C440</f>
        <v>0</v>
      </c>
      <c r="C439" s="44">
        <f>Compta!D440</f>
        <v>0</v>
      </c>
      <c r="D439" s="144">
        <f>Compta!E440</f>
        <v>0</v>
      </c>
      <c r="E439" s="144">
        <f>Compta!F440</f>
        <v>0</v>
      </c>
      <c r="F439" s="136">
        <f t="shared" si="6"/>
        <v>-115.32999999999782</v>
      </c>
      <c r="G439" s="130">
        <f>Compta!H440</f>
        <v>0</v>
      </c>
    </row>
    <row r="440" spans="1:7" ht="15" customHeight="1" x14ac:dyDescent="0.25">
      <c r="A440" s="42">
        <f>Compta!B441</f>
        <v>0</v>
      </c>
      <c r="B440" s="43">
        <f>Compta!C441</f>
        <v>0</v>
      </c>
      <c r="C440" s="44">
        <f>Compta!D441</f>
        <v>0</v>
      </c>
      <c r="D440" s="144">
        <f>Compta!E441</f>
        <v>0</v>
      </c>
      <c r="E440" s="144">
        <f>Compta!F441</f>
        <v>0</v>
      </c>
      <c r="F440" s="136">
        <f t="shared" si="6"/>
        <v>667.77000000000589</v>
      </c>
      <c r="G440" s="130">
        <f>Compta!H441</f>
        <v>0</v>
      </c>
    </row>
    <row r="441" spans="1:7" ht="15" customHeight="1" x14ac:dyDescent="0.25">
      <c r="A441" s="42">
        <f>Compta!B442</f>
        <v>0</v>
      </c>
      <c r="B441" s="43">
        <f>Compta!C442</f>
        <v>0</v>
      </c>
      <c r="C441" s="44">
        <f>Compta!D442</f>
        <v>0</v>
      </c>
      <c r="D441" s="144">
        <f>Compta!E442</f>
        <v>0</v>
      </c>
      <c r="E441" s="144">
        <f>Compta!F442</f>
        <v>0</v>
      </c>
      <c r="F441" s="136">
        <f t="shared" si="6"/>
        <v>-115.32999999999782</v>
      </c>
      <c r="G441" s="130">
        <f>Compta!H442</f>
        <v>0</v>
      </c>
    </row>
    <row r="442" spans="1:7" ht="15" customHeight="1" x14ac:dyDescent="0.25">
      <c r="A442" s="42">
        <f>Compta!B443</f>
        <v>0</v>
      </c>
      <c r="B442" s="43">
        <f>Compta!C443</f>
        <v>0</v>
      </c>
      <c r="C442" s="44">
        <f>Compta!D443</f>
        <v>0</v>
      </c>
      <c r="D442" s="144">
        <f>Compta!E443</f>
        <v>0</v>
      </c>
      <c r="E442" s="144">
        <f>Compta!F443</f>
        <v>0</v>
      </c>
      <c r="F442" s="136">
        <f t="shared" si="6"/>
        <v>667.77000000000589</v>
      </c>
      <c r="G442" s="130">
        <f>Compta!H443</f>
        <v>0</v>
      </c>
    </row>
    <row r="443" spans="1:7" ht="15" customHeight="1" x14ac:dyDescent="0.25">
      <c r="A443" s="42">
        <f>Compta!B444</f>
        <v>0</v>
      </c>
      <c r="B443" s="43">
        <f>Compta!C444</f>
        <v>0</v>
      </c>
      <c r="C443" s="44">
        <f>Compta!D444</f>
        <v>0</v>
      </c>
      <c r="D443" s="144">
        <f>Compta!E444</f>
        <v>0</v>
      </c>
      <c r="E443" s="144">
        <f>Compta!F444</f>
        <v>0</v>
      </c>
      <c r="F443" s="136">
        <f t="shared" si="6"/>
        <v>-115.32999999999782</v>
      </c>
      <c r="G443" s="130">
        <f>Compta!H444</f>
        <v>0</v>
      </c>
    </row>
    <row r="444" spans="1:7" ht="15" customHeight="1" x14ac:dyDescent="0.25">
      <c r="A444" s="42">
        <f>Compta!B445</f>
        <v>0</v>
      </c>
      <c r="B444" s="43">
        <f>Compta!C445</f>
        <v>0</v>
      </c>
      <c r="C444" s="44">
        <f>Compta!D445</f>
        <v>0</v>
      </c>
      <c r="D444" s="144">
        <f>Compta!E445</f>
        <v>0</v>
      </c>
      <c r="E444" s="144">
        <f>Compta!F445</f>
        <v>0</v>
      </c>
      <c r="F444" s="136">
        <f t="shared" si="6"/>
        <v>667.77000000000589</v>
      </c>
      <c r="G444" s="130">
        <f>Compta!H445</f>
        <v>0</v>
      </c>
    </row>
    <row r="445" spans="1:7" ht="15" customHeight="1" x14ac:dyDescent="0.25">
      <c r="A445" s="42">
        <f>Compta!B446</f>
        <v>0</v>
      </c>
      <c r="B445" s="43">
        <f>Compta!C446</f>
        <v>0</v>
      </c>
      <c r="C445" s="44">
        <f>Compta!D446</f>
        <v>0</v>
      </c>
      <c r="D445" s="144">
        <f>Compta!E446</f>
        <v>0</v>
      </c>
      <c r="E445" s="144">
        <f>Compta!F446</f>
        <v>0</v>
      </c>
      <c r="F445" s="136">
        <f t="shared" si="6"/>
        <v>-115.32999999999782</v>
      </c>
      <c r="G445" s="130">
        <f>Compta!H446</f>
        <v>0</v>
      </c>
    </row>
    <row r="446" spans="1:7" ht="15" customHeight="1" x14ac:dyDescent="0.25">
      <c r="A446" s="42">
        <f>Compta!B447</f>
        <v>0</v>
      </c>
      <c r="B446" s="43">
        <f>Compta!C447</f>
        <v>0</v>
      </c>
      <c r="C446" s="44">
        <f>Compta!D447</f>
        <v>0</v>
      </c>
      <c r="D446" s="144">
        <f>Compta!E447</f>
        <v>0</v>
      </c>
      <c r="E446" s="144">
        <f>Compta!F447</f>
        <v>0</v>
      </c>
      <c r="F446" s="136">
        <f t="shared" si="6"/>
        <v>667.77000000000589</v>
      </c>
      <c r="G446" s="130">
        <f>Compta!H447</f>
        <v>0</v>
      </c>
    </row>
    <row r="447" spans="1:7" ht="15" customHeight="1" x14ac:dyDescent="0.25">
      <c r="A447" s="42">
        <f>Compta!B448</f>
        <v>0</v>
      </c>
      <c r="B447" s="43">
        <f>Compta!C448</f>
        <v>0</v>
      </c>
      <c r="C447" s="44">
        <f>Compta!D448</f>
        <v>0</v>
      </c>
      <c r="D447" s="144">
        <f>Compta!E448</f>
        <v>0</v>
      </c>
      <c r="E447" s="144">
        <f>Compta!F448</f>
        <v>0</v>
      </c>
      <c r="F447" s="136">
        <f t="shared" si="6"/>
        <v>-115.32999999999782</v>
      </c>
      <c r="G447" s="130">
        <f>Compta!H448</f>
        <v>0</v>
      </c>
    </row>
    <row r="448" spans="1:7" ht="15" customHeight="1" x14ac:dyDescent="0.25">
      <c r="A448" s="42">
        <f>Compta!B449</f>
        <v>0</v>
      </c>
      <c r="B448" s="43">
        <f>Compta!C449</f>
        <v>0</v>
      </c>
      <c r="C448" s="44">
        <f>Compta!D449</f>
        <v>0</v>
      </c>
      <c r="D448" s="144">
        <f>Compta!E449</f>
        <v>0</v>
      </c>
      <c r="E448" s="144">
        <f>Compta!F449</f>
        <v>0</v>
      </c>
      <c r="F448" s="136">
        <f t="shared" si="6"/>
        <v>667.77000000000589</v>
      </c>
      <c r="G448" s="130">
        <f>Compta!H449</f>
        <v>0</v>
      </c>
    </row>
    <row r="449" spans="1:7" ht="15" customHeight="1" x14ac:dyDescent="0.25">
      <c r="A449" s="42">
        <f>Compta!B450</f>
        <v>0</v>
      </c>
      <c r="B449" s="43">
        <f>Compta!C450</f>
        <v>0</v>
      </c>
      <c r="C449" s="44">
        <f>Compta!D450</f>
        <v>0</v>
      </c>
      <c r="D449" s="144">
        <f>Compta!E450</f>
        <v>0</v>
      </c>
      <c r="E449" s="144">
        <f>Compta!F450</f>
        <v>0</v>
      </c>
      <c r="F449" s="136">
        <f t="shared" si="6"/>
        <v>-115.32999999999782</v>
      </c>
      <c r="G449" s="130">
        <f>Compta!H450</f>
        <v>0</v>
      </c>
    </row>
    <row r="450" spans="1:7" ht="15" customHeight="1" x14ac:dyDescent="0.25">
      <c r="A450" s="42">
        <f>Compta!B451</f>
        <v>0</v>
      </c>
      <c r="B450" s="43">
        <f>Compta!C451</f>
        <v>0</v>
      </c>
      <c r="C450" s="44">
        <f>Compta!D451</f>
        <v>0</v>
      </c>
      <c r="D450" s="144">
        <f>Compta!E451</f>
        <v>0</v>
      </c>
      <c r="E450" s="144">
        <f>Compta!F451</f>
        <v>0</v>
      </c>
      <c r="F450" s="136">
        <f t="shared" si="6"/>
        <v>667.77000000000589</v>
      </c>
      <c r="G450" s="130">
        <f>Compta!H451</f>
        <v>0</v>
      </c>
    </row>
    <row r="451" spans="1:7" ht="15" customHeight="1" x14ac:dyDescent="0.25">
      <c r="A451" s="42">
        <f>Compta!B452</f>
        <v>0</v>
      </c>
      <c r="B451" s="43">
        <f>Compta!C452</f>
        <v>0</v>
      </c>
      <c r="C451" s="44">
        <f>Compta!D452</f>
        <v>0</v>
      </c>
      <c r="D451" s="144">
        <f>Compta!E452</f>
        <v>0</v>
      </c>
      <c r="E451" s="144">
        <f>Compta!F452</f>
        <v>0</v>
      </c>
      <c r="F451" s="136">
        <f t="shared" si="6"/>
        <v>-115.32999999999782</v>
      </c>
      <c r="G451" s="130">
        <f>Compta!H452</f>
        <v>0</v>
      </c>
    </row>
    <row r="452" spans="1:7" ht="15" customHeight="1" x14ac:dyDescent="0.25">
      <c r="A452" s="42">
        <f>Compta!B453</f>
        <v>0</v>
      </c>
      <c r="B452" s="43">
        <f>Compta!C453</f>
        <v>0</v>
      </c>
      <c r="C452" s="44">
        <f>Compta!D453</f>
        <v>0</v>
      </c>
      <c r="D452" s="144">
        <f>Compta!E453</f>
        <v>0</v>
      </c>
      <c r="E452" s="144">
        <f>Compta!F453</f>
        <v>0</v>
      </c>
      <c r="F452" s="136">
        <f t="shared" si="6"/>
        <v>667.77000000000589</v>
      </c>
      <c r="G452" s="130">
        <f>Compta!H453</f>
        <v>0</v>
      </c>
    </row>
    <row r="453" spans="1:7" ht="15" customHeight="1" x14ac:dyDescent="0.25">
      <c r="A453" s="42">
        <f>Compta!B454</f>
        <v>0</v>
      </c>
      <c r="B453" s="43">
        <f>Compta!C454</f>
        <v>0</v>
      </c>
      <c r="C453" s="44">
        <f>Compta!D454</f>
        <v>0</v>
      </c>
      <c r="D453" s="144">
        <f>Compta!E454</f>
        <v>0</v>
      </c>
      <c r="E453" s="144">
        <f>Compta!F454</f>
        <v>0</v>
      </c>
      <c r="F453" s="136">
        <f t="shared" si="6"/>
        <v>-115.32999999999782</v>
      </c>
      <c r="G453" s="130">
        <f>Compta!H454</f>
        <v>0</v>
      </c>
    </row>
    <row r="454" spans="1:7" ht="15" customHeight="1" x14ac:dyDescent="0.25">
      <c r="A454" s="42">
        <f>Compta!B455</f>
        <v>0</v>
      </c>
      <c r="B454" s="43">
        <f>Compta!C455</f>
        <v>0</v>
      </c>
      <c r="C454" s="44">
        <f>Compta!D455</f>
        <v>0</v>
      </c>
      <c r="D454" s="144">
        <f>Compta!E455</f>
        <v>0</v>
      </c>
      <c r="E454" s="144">
        <f>Compta!F455</f>
        <v>0</v>
      </c>
      <c r="F454" s="136">
        <f t="shared" si="6"/>
        <v>667.77000000000589</v>
      </c>
      <c r="G454" s="130">
        <f>Compta!H455</f>
        <v>0</v>
      </c>
    </row>
    <row r="455" spans="1:7" ht="15" customHeight="1" x14ac:dyDescent="0.25">
      <c r="A455" s="42">
        <f>Compta!B456</f>
        <v>0</v>
      </c>
      <c r="B455" s="43">
        <f>Compta!C456</f>
        <v>0</v>
      </c>
      <c r="C455" s="44">
        <f>Compta!D456</f>
        <v>0</v>
      </c>
      <c r="D455" s="144">
        <f>Compta!E456</f>
        <v>0</v>
      </c>
      <c r="E455" s="144">
        <f>Compta!F456</f>
        <v>0</v>
      </c>
      <c r="F455" s="136">
        <f t="shared" si="6"/>
        <v>-115.32999999999782</v>
      </c>
      <c r="G455" s="130">
        <f>Compta!H456</f>
        <v>0</v>
      </c>
    </row>
    <row r="456" spans="1:7" ht="15" customHeight="1" x14ac:dyDescent="0.25">
      <c r="A456" s="42">
        <f>Compta!B457</f>
        <v>0</v>
      </c>
      <c r="B456" s="43">
        <f>Compta!C457</f>
        <v>0</v>
      </c>
      <c r="C456" s="44">
        <f>Compta!D457</f>
        <v>0</v>
      </c>
      <c r="D456" s="144">
        <f>Compta!E457</f>
        <v>0</v>
      </c>
      <c r="E456" s="144">
        <f>Compta!F457</f>
        <v>0</v>
      </c>
      <c r="F456" s="136">
        <f t="shared" ref="F456:F519" si="7">+F454+D456-E456</f>
        <v>667.77000000000589</v>
      </c>
      <c r="G456" s="130">
        <f>Compta!H457</f>
        <v>0</v>
      </c>
    </row>
    <row r="457" spans="1:7" ht="15" customHeight="1" x14ac:dyDescent="0.25">
      <c r="A457" s="42">
        <f>Compta!B458</f>
        <v>0</v>
      </c>
      <c r="B457" s="43">
        <f>Compta!C458</f>
        <v>0</v>
      </c>
      <c r="C457" s="44">
        <f>Compta!D458</f>
        <v>0</v>
      </c>
      <c r="D457" s="144">
        <f>Compta!E458</f>
        <v>0</v>
      </c>
      <c r="E457" s="144">
        <f>Compta!F458</f>
        <v>0</v>
      </c>
      <c r="F457" s="136">
        <f t="shared" si="7"/>
        <v>-115.32999999999782</v>
      </c>
      <c r="G457" s="130">
        <f>Compta!H458</f>
        <v>0</v>
      </c>
    </row>
    <row r="458" spans="1:7" ht="15" customHeight="1" x14ac:dyDescent="0.25">
      <c r="A458" s="42">
        <f>Compta!B459</f>
        <v>0</v>
      </c>
      <c r="B458" s="43">
        <f>Compta!C459</f>
        <v>0</v>
      </c>
      <c r="C458" s="44">
        <f>Compta!D459</f>
        <v>0</v>
      </c>
      <c r="D458" s="144">
        <f>Compta!E459</f>
        <v>0</v>
      </c>
      <c r="E458" s="144">
        <f>Compta!F459</f>
        <v>0</v>
      </c>
      <c r="F458" s="136">
        <f t="shared" si="7"/>
        <v>667.77000000000589</v>
      </c>
      <c r="G458" s="130">
        <f>Compta!H459</f>
        <v>0</v>
      </c>
    </row>
    <row r="459" spans="1:7" ht="15" customHeight="1" x14ac:dyDescent="0.25">
      <c r="A459" s="42">
        <f>Compta!B460</f>
        <v>0</v>
      </c>
      <c r="B459" s="43">
        <f>Compta!C460</f>
        <v>0</v>
      </c>
      <c r="C459" s="44">
        <f>Compta!D460</f>
        <v>0</v>
      </c>
      <c r="D459" s="144">
        <f>Compta!E460</f>
        <v>0</v>
      </c>
      <c r="E459" s="144">
        <f>Compta!F460</f>
        <v>0</v>
      </c>
      <c r="F459" s="136">
        <f t="shared" si="7"/>
        <v>-115.32999999999782</v>
      </c>
      <c r="G459" s="130">
        <f>Compta!H460</f>
        <v>0</v>
      </c>
    </row>
    <row r="460" spans="1:7" ht="15" customHeight="1" x14ac:dyDescent="0.25">
      <c r="A460" s="42">
        <f>Compta!B461</f>
        <v>0</v>
      </c>
      <c r="B460" s="43">
        <f>Compta!C461</f>
        <v>0</v>
      </c>
      <c r="C460" s="44">
        <f>Compta!D461</f>
        <v>0</v>
      </c>
      <c r="D460" s="144">
        <f>Compta!E461</f>
        <v>0</v>
      </c>
      <c r="E460" s="144">
        <f>Compta!F461</f>
        <v>0</v>
      </c>
      <c r="F460" s="136">
        <f t="shared" si="7"/>
        <v>667.77000000000589</v>
      </c>
      <c r="G460" s="130">
        <f>Compta!H461</f>
        <v>0</v>
      </c>
    </row>
    <row r="461" spans="1:7" ht="15" customHeight="1" x14ac:dyDescent="0.25">
      <c r="A461" s="42">
        <f>Compta!B462</f>
        <v>0</v>
      </c>
      <c r="B461" s="43">
        <f>Compta!C462</f>
        <v>0</v>
      </c>
      <c r="C461" s="44">
        <f>Compta!D462</f>
        <v>0</v>
      </c>
      <c r="D461" s="144">
        <f>Compta!E462</f>
        <v>0</v>
      </c>
      <c r="E461" s="144">
        <f>Compta!F462</f>
        <v>0</v>
      </c>
      <c r="F461" s="136">
        <f t="shared" si="7"/>
        <v>-115.32999999999782</v>
      </c>
      <c r="G461" s="130">
        <f>Compta!H462</f>
        <v>0</v>
      </c>
    </row>
    <row r="462" spans="1:7" ht="15" customHeight="1" x14ac:dyDescent="0.25">
      <c r="A462" s="42">
        <f>Compta!B463</f>
        <v>0</v>
      </c>
      <c r="B462" s="43">
        <f>Compta!C463</f>
        <v>0</v>
      </c>
      <c r="C462" s="44">
        <f>Compta!D463</f>
        <v>0</v>
      </c>
      <c r="D462" s="144">
        <f>Compta!E463</f>
        <v>0</v>
      </c>
      <c r="E462" s="144">
        <f>Compta!F463</f>
        <v>0</v>
      </c>
      <c r="F462" s="136">
        <f t="shared" si="7"/>
        <v>667.77000000000589</v>
      </c>
      <c r="G462" s="130">
        <f>Compta!H463</f>
        <v>0</v>
      </c>
    </row>
    <row r="463" spans="1:7" ht="15" customHeight="1" x14ac:dyDescent="0.25">
      <c r="A463" s="42">
        <f>Compta!B464</f>
        <v>0</v>
      </c>
      <c r="B463" s="43">
        <f>Compta!C464</f>
        <v>0</v>
      </c>
      <c r="C463" s="44">
        <f>Compta!D464</f>
        <v>0</v>
      </c>
      <c r="D463" s="144">
        <f>Compta!E464</f>
        <v>0</v>
      </c>
      <c r="E463" s="144">
        <f>Compta!F464</f>
        <v>0</v>
      </c>
      <c r="F463" s="136">
        <f t="shared" si="7"/>
        <v>-115.32999999999782</v>
      </c>
      <c r="G463" s="130">
        <f>Compta!H464</f>
        <v>0</v>
      </c>
    </row>
    <row r="464" spans="1:7" ht="15" customHeight="1" x14ac:dyDescent="0.25">
      <c r="A464" s="42">
        <f>Compta!B465</f>
        <v>0</v>
      </c>
      <c r="B464" s="43">
        <f>Compta!C465</f>
        <v>0</v>
      </c>
      <c r="C464" s="44">
        <f>Compta!D465</f>
        <v>0</v>
      </c>
      <c r="D464" s="144">
        <f>Compta!E465</f>
        <v>0</v>
      </c>
      <c r="E464" s="144">
        <f>Compta!F465</f>
        <v>0</v>
      </c>
      <c r="F464" s="136">
        <f t="shared" si="7"/>
        <v>667.77000000000589</v>
      </c>
      <c r="G464" s="130">
        <f>Compta!H465</f>
        <v>0</v>
      </c>
    </row>
    <row r="465" spans="1:7" ht="15" customHeight="1" x14ac:dyDescent="0.25">
      <c r="A465" s="42">
        <f>Compta!B466</f>
        <v>0</v>
      </c>
      <c r="B465" s="43">
        <f>Compta!C466</f>
        <v>0</v>
      </c>
      <c r="C465" s="44">
        <f>Compta!D466</f>
        <v>0</v>
      </c>
      <c r="D465" s="144">
        <f>Compta!E466</f>
        <v>0</v>
      </c>
      <c r="E465" s="144">
        <f>Compta!F466</f>
        <v>0</v>
      </c>
      <c r="F465" s="136">
        <f t="shared" si="7"/>
        <v>-115.32999999999782</v>
      </c>
      <c r="G465" s="130">
        <f>Compta!H466</f>
        <v>0</v>
      </c>
    </row>
    <row r="466" spans="1:7" ht="15" customHeight="1" x14ac:dyDescent="0.25">
      <c r="A466" s="42">
        <f>Compta!B467</f>
        <v>0</v>
      </c>
      <c r="B466" s="43">
        <f>Compta!C467</f>
        <v>0</v>
      </c>
      <c r="C466" s="44">
        <f>Compta!D467</f>
        <v>0</v>
      </c>
      <c r="D466" s="144">
        <f>Compta!E467</f>
        <v>0</v>
      </c>
      <c r="E466" s="144">
        <f>Compta!F467</f>
        <v>0</v>
      </c>
      <c r="F466" s="136">
        <f t="shared" si="7"/>
        <v>667.77000000000589</v>
      </c>
      <c r="G466" s="130">
        <f>Compta!H467</f>
        <v>0</v>
      </c>
    </row>
    <row r="467" spans="1:7" ht="15" customHeight="1" x14ac:dyDescent="0.25">
      <c r="A467" s="42">
        <f>Compta!B468</f>
        <v>0</v>
      </c>
      <c r="B467" s="43">
        <f>Compta!C468</f>
        <v>0</v>
      </c>
      <c r="C467" s="44">
        <f>Compta!D468</f>
        <v>0</v>
      </c>
      <c r="D467" s="144">
        <f>Compta!E468</f>
        <v>0</v>
      </c>
      <c r="E467" s="144">
        <f>Compta!F468</f>
        <v>0</v>
      </c>
      <c r="F467" s="136">
        <f t="shared" si="7"/>
        <v>-115.32999999999782</v>
      </c>
      <c r="G467" s="130">
        <f>Compta!H468</f>
        <v>0</v>
      </c>
    </row>
    <row r="468" spans="1:7" ht="15" customHeight="1" x14ac:dyDescent="0.25">
      <c r="A468" s="42">
        <f>Compta!B469</f>
        <v>0</v>
      </c>
      <c r="B468" s="43">
        <f>Compta!C469</f>
        <v>0</v>
      </c>
      <c r="C468" s="44">
        <f>Compta!D469</f>
        <v>0</v>
      </c>
      <c r="D468" s="144">
        <f>Compta!E469</f>
        <v>0</v>
      </c>
      <c r="E468" s="144">
        <f>Compta!F469</f>
        <v>0</v>
      </c>
      <c r="F468" s="136">
        <f t="shared" si="7"/>
        <v>667.77000000000589</v>
      </c>
      <c r="G468" s="130">
        <f>Compta!H469</f>
        <v>0</v>
      </c>
    </row>
    <row r="469" spans="1:7" ht="15" customHeight="1" x14ac:dyDescent="0.25">
      <c r="A469" s="42">
        <f>Compta!B470</f>
        <v>0</v>
      </c>
      <c r="B469" s="43">
        <f>Compta!C470</f>
        <v>0</v>
      </c>
      <c r="C469" s="44">
        <f>Compta!D470</f>
        <v>0</v>
      </c>
      <c r="D469" s="144">
        <f>Compta!E470</f>
        <v>0</v>
      </c>
      <c r="E469" s="144">
        <f>Compta!F470</f>
        <v>0</v>
      </c>
      <c r="F469" s="136">
        <f t="shared" si="7"/>
        <v>-115.32999999999782</v>
      </c>
      <c r="G469" s="130">
        <f>Compta!H470</f>
        <v>0</v>
      </c>
    </row>
    <row r="470" spans="1:7" ht="15" customHeight="1" x14ac:dyDescent="0.25">
      <c r="A470" s="42">
        <f>Compta!B471</f>
        <v>0</v>
      </c>
      <c r="B470" s="43">
        <f>Compta!C471</f>
        <v>0</v>
      </c>
      <c r="C470" s="44">
        <f>Compta!D471</f>
        <v>0</v>
      </c>
      <c r="D470" s="144">
        <f>Compta!E471</f>
        <v>0</v>
      </c>
      <c r="E470" s="144">
        <f>Compta!F471</f>
        <v>0</v>
      </c>
      <c r="F470" s="136">
        <f t="shared" si="7"/>
        <v>667.77000000000589</v>
      </c>
      <c r="G470" s="130">
        <f>Compta!H471</f>
        <v>0</v>
      </c>
    </row>
    <row r="471" spans="1:7" ht="15" customHeight="1" x14ac:dyDescent="0.25">
      <c r="A471" s="42">
        <f>Compta!B472</f>
        <v>0</v>
      </c>
      <c r="B471" s="43">
        <f>Compta!C472</f>
        <v>0</v>
      </c>
      <c r="C471" s="44">
        <f>Compta!D472</f>
        <v>0</v>
      </c>
      <c r="D471" s="144">
        <f>Compta!E472</f>
        <v>0</v>
      </c>
      <c r="E471" s="144">
        <f>Compta!F472</f>
        <v>0</v>
      </c>
      <c r="F471" s="136">
        <f t="shared" si="7"/>
        <v>-115.32999999999782</v>
      </c>
      <c r="G471" s="130">
        <f>Compta!H472</f>
        <v>0</v>
      </c>
    </row>
    <row r="472" spans="1:7" ht="15" customHeight="1" x14ac:dyDescent="0.25">
      <c r="A472" s="42">
        <f>Compta!B473</f>
        <v>0</v>
      </c>
      <c r="B472" s="43">
        <f>Compta!C473</f>
        <v>0</v>
      </c>
      <c r="C472" s="44">
        <f>Compta!D473</f>
        <v>0</v>
      </c>
      <c r="D472" s="144">
        <f>Compta!E473</f>
        <v>0</v>
      </c>
      <c r="E472" s="144">
        <f>Compta!F473</f>
        <v>0</v>
      </c>
      <c r="F472" s="136">
        <f t="shared" si="7"/>
        <v>667.77000000000589</v>
      </c>
      <c r="G472" s="130">
        <f>Compta!H473</f>
        <v>0</v>
      </c>
    </row>
    <row r="473" spans="1:7" ht="15" customHeight="1" x14ac:dyDescent="0.25">
      <c r="A473" s="42">
        <f>Compta!B474</f>
        <v>0</v>
      </c>
      <c r="B473" s="43">
        <f>Compta!C474</f>
        <v>0</v>
      </c>
      <c r="C473" s="44">
        <f>Compta!D474</f>
        <v>0</v>
      </c>
      <c r="D473" s="144">
        <f>Compta!E474</f>
        <v>0</v>
      </c>
      <c r="E473" s="144">
        <f>Compta!F474</f>
        <v>0</v>
      </c>
      <c r="F473" s="136">
        <f t="shared" si="7"/>
        <v>-115.32999999999782</v>
      </c>
      <c r="G473" s="130">
        <f>Compta!H474</f>
        <v>0</v>
      </c>
    </row>
    <row r="474" spans="1:7" ht="15" customHeight="1" x14ac:dyDescent="0.25">
      <c r="A474" s="42">
        <f>Compta!B475</f>
        <v>0</v>
      </c>
      <c r="B474" s="43">
        <f>Compta!C475</f>
        <v>0</v>
      </c>
      <c r="C474" s="44">
        <f>Compta!D475</f>
        <v>0</v>
      </c>
      <c r="D474" s="144">
        <f>Compta!E475</f>
        <v>0</v>
      </c>
      <c r="E474" s="144">
        <f>Compta!F475</f>
        <v>0</v>
      </c>
      <c r="F474" s="136">
        <f t="shared" si="7"/>
        <v>667.77000000000589</v>
      </c>
      <c r="G474" s="130">
        <f>Compta!H475</f>
        <v>0</v>
      </c>
    </row>
    <row r="475" spans="1:7" ht="15" customHeight="1" x14ac:dyDescent="0.25">
      <c r="A475" s="42">
        <f>Compta!B476</f>
        <v>0</v>
      </c>
      <c r="B475" s="43">
        <f>Compta!C476</f>
        <v>0</v>
      </c>
      <c r="C475" s="44">
        <f>Compta!D476</f>
        <v>0</v>
      </c>
      <c r="D475" s="144">
        <f>Compta!E476</f>
        <v>0</v>
      </c>
      <c r="E475" s="144">
        <f>Compta!F476</f>
        <v>0</v>
      </c>
      <c r="F475" s="136">
        <f t="shared" si="7"/>
        <v>-115.32999999999782</v>
      </c>
      <c r="G475" s="130">
        <f>Compta!H476</f>
        <v>0</v>
      </c>
    </row>
    <row r="476" spans="1:7" ht="15" customHeight="1" x14ac:dyDescent="0.25">
      <c r="A476" s="42">
        <f>Compta!B477</f>
        <v>0</v>
      </c>
      <c r="B476" s="43">
        <f>Compta!C477</f>
        <v>0</v>
      </c>
      <c r="C476" s="44">
        <f>Compta!D477</f>
        <v>0</v>
      </c>
      <c r="D476" s="144">
        <f>Compta!E477</f>
        <v>0</v>
      </c>
      <c r="E476" s="144">
        <f>Compta!F477</f>
        <v>0</v>
      </c>
      <c r="F476" s="136">
        <f t="shared" si="7"/>
        <v>667.77000000000589</v>
      </c>
      <c r="G476" s="130">
        <f>Compta!H477</f>
        <v>0</v>
      </c>
    </row>
    <row r="477" spans="1:7" ht="15" customHeight="1" x14ac:dyDescent="0.25">
      <c r="A477" s="42">
        <f>Compta!B478</f>
        <v>0</v>
      </c>
      <c r="B477" s="43">
        <f>Compta!C478</f>
        <v>0</v>
      </c>
      <c r="C477" s="44">
        <f>Compta!D478</f>
        <v>0</v>
      </c>
      <c r="D477" s="144">
        <f>Compta!E478</f>
        <v>0</v>
      </c>
      <c r="E477" s="144">
        <f>Compta!F478</f>
        <v>0</v>
      </c>
      <c r="F477" s="136">
        <f t="shared" si="7"/>
        <v>-115.32999999999782</v>
      </c>
      <c r="G477" s="130">
        <f>Compta!H478</f>
        <v>0</v>
      </c>
    </row>
    <row r="478" spans="1:7" ht="15" customHeight="1" x14ac:dyDescent="0.25">
      <c r="A478" s="42">
        <f>Compta!B479</f>
        <v>0</v>
      </c>
      <c r="B478" s="43">
        <f>Compta!C479</f>
        <v>0</v>
      </c>
      <c r="C478" s="44">
        <f>Compta!D479</f>
        <v>0</v>
      </c>
      <c r="D478" s="144">
        <f>Compta!E479</f>
        <v>0</v>
      </c>
      <c r="E478" s="144">
        <f>Compta!F479</f>
        <v>0</v>
      </c>
      <c r="F478" s="136">
        <f t="shared" si="7"/>
        <v>667.77000000000589</v>
      </c>
      <c r="G478" s="130">
        <f>Compta!H479</f>
        <v>0</v>
      </c>
    </row>
    <row r="479" spans="1:7" ht="15" customHeight="1" x14ac:dyDescent="0.25">
      <c r="A479" s="42">
        <f>Compta!B480</f>
        <v>0</v>
      </c>
      <c r="B479" s="43">
        <f>Compta!C480</f>
        <v>0</v>
      </c>
      <c r="C479" s="44">
        <f>Compta!D480</f>
        <v>0</v>
      </c>
      <c r="D479" s="144">
        <f>Compta!E480</f>
        <v>0</v>
      </c>
      <c r="E479" s="144">
        <f>Compta!F480</f>
        <v>0</v>
      </c>
      <c r="F479" s="136">
        <f t="shared" si="7"/>
        <v>-115.32999999999782</v>
      </c>
      <c r="G479" s="130">
        <f>Compta!H480</f>
        <v>0</v>
      </c>
    </row>
    <row r="480" spans="1:7" ht="15" customHeight="1" x14ac:dyDescent="0.25">
      <c r="A480" s="42">
        <f>Compta!B481</f>
        <v>0</v>
      </c>
      <c r="B480" s="43">
        <f>Compta!C481</f>
        <v>0</v>
      </c>
      <c r="C480" s="44">
        <f>Compta!D481</f>
        <v>0</v>
      </c>
      <c r="D480" s="144">
        <f>Compta!E481</f>
        <v>0</v>
      </c>
      <c r="E480" s="144">
        <f>Compta!F481</f>
        <v>0</v>
      </c>
      <c r="F480" s="136">
        <f t="shared" si="7"/>
        <v>667.77000000000589</v>
      </c>
      <c r="G480" s="130">
        <f>Compta!H481</f>
        <v>0</v>
      </c>
    </row>
    <row r="481" spans="1:7" ht="15" customHeight="1" x14ac:dyDescent="0.25">
      <c r="A481" s="42">
        <f>Compta!B482</f>
        <v>0</v>
      </c>
      <c r="B481" s="43">
        <f>Compta!C482</f>
        <v>0</v>
      </c>
      <c r="C481" s="44">
        <f>Compta!D482</f>
        <v>0</v>
      </c>
      <c r="D481" s="144">
        <f>Compta!E482</f>
        <v>0</v>
      </c>
      <c r="E481" s="144">
        <f>Compta!F482</f>
        <v>0</v>
      </c>
      <c r="F481" s="136">
        <f t="shared" si="7"/>
        <v>-115.32999999999782</v>
      </c>
      <c r="G481" s="130">
        <f>Compta!H482</f>
        <v>0</v>
      </c>
    </row>
    <row r="482" spans="1:7" ht="15" customHeight="1" x14ac:dyDescent="0.25">
      <c r="A482" s="42">
        <f>Compta!B483</f>
        <v>0</v>
      </c>
      <c r="B482" s="43">
        <f>Compta!C483</f>
        <v>0</v>
      </c>
      <c r="C482" s="44">
        <f>Compta!D483</f>
        <v>0</v>
      </c>
      <c r="D482" s="144">
        <f>Compta!E483</f>
        <v>0</v>
      </c>
      <c r="E482" s="144">
        <f>Compta!F483</f>
        <v>0</v>
      </c>
      <c r="F482" s="136">
        <f t="shared" si="7"/>
        <v>667.77000000000589</v>
      </c>
      <c r="G482" s="130">
        <f>Compta!H483</f>
        <v>0</v>
      </c>
    </row>
    <row r="483" spans="1:7" ht="15" customHeight="1" x14ac:dyDescent="0.25">
      <c r="A483" s="42">
        <f>Compta!B484</f>
        <v>0</v>
      </c>
      <c r="B483" s="43">
        <f>Compta!C484</f>
        <v>0</v>
      </c>
      <c r="C483" s="44">
        <f>Compta!D484</f>
        <v>0</v>
      </c>
      <c r="D483" s="144">
        <f>Compta!E484</f>
        <v>0</v>
      </c>
      <c r="E483" s="144">
        <f>Compta!F484</f>
        <v>0</v>
      </c>
      <c r="F483" s="136">
        <f t="shared" si="7"/>
        <v>-115.32999999999782</v>
      </c>
      <c r="G483" s="130">
        <f>Compta!H484</f>
        <v>0</v>
      </c>
    </row>
    <row r="484" spans="1:7" ht="15" customHeight="1" x14ac:dyDescent="0.25">
      <c r="A484" s="42">
        <f>Compta!B485</f>
        <v>0</v>
      </c>
      <c r="B484" s="43">
        <f>Compta!C485</f>
        <v>0</v>
      </c>
      <c r="C484" s="44">
        <f>Compta!D485</f>
        <v>0</v>
      </c>
      <c r="D484" s="144">
        <f>Compta!E485</f>
        <v>0</v>
      </c>
      <c r="E484" s="144">
        <f>Compta!F485</f>
        <v>0</v>
      </c>
      <c r="F484" s="136">
        <f t="shared" si="7"/>
        <v>667.77000000000589</v>
      </c>
      <c r="G484" s="130">
        <f>Compta!H485</f>
        <v>0</v>
      </c>
    </row>
    <row r="485" spans="1:7" ht="15" customHeight="1" x14ac:dyDescent="0.25">
      <c r="A485" s="42">
        <f>Compta!B486</f>
        <v>0</v>
      </c>
      <c r="B485" s="43">
        <f>Compta!C486</f>
        <v>0</v>
      </c>
      <c r="C485" s="44">
        <f>Compta!D486</f>
        <v>0</v>
      </c>
      <c r="D485" s="144">
        <f>Compta!E486</f>
        <v>0</v>
      </c>
      <c r="E485" s="144">
        <f>Compta!F486</f>
        <v>0</v>
      </c>
      <c r="F485" s="136">
        <f t="shared" si="7"/>
        <v>-115.32999999999782</v>
      </c>
      <c r="G485" s="130">
        <f>Compta!H486</f>
        <v>0</v>
      </c>
    </row>
    <row r="486" spans="1:7" ht="15" customHeight="1" x14ac:dyDescent="0.25">
      <c r="A486" s="42">
        <f>Compta!B487</f>
        <v>0</v>
      </c>
      <c r="B486" s="43">
        <f>Compta!C487</f>
        <v>0</v>
      </c>
      <c r="C486" s="44">
        <f>Compta!D487</f>
        <v>0</v>
      </c>
      <c r="D486" s="144">
        <f>Compta!E487</f>
        <v>0</v>
      </c>
      <c r="E486" s="144">
        <f>Compta!F487</f>
        <v>0</v>
      </c>
      <c r="F486" s="136">
        <f t="shared" si="7"/>
        <v>667.77000000000589</v>
      </c>
      <c r="G486" s="130">
        <f>Compta!H487</f>
        <v>0</v>
      </c>
    </row>
    <row r="487" spans="1:7" ht="15" customHeight="1" x14ac:dyDescent="0.25">
      <c r="A487" s="42">
        <f>Compta!B488</f>
        <v>0</v>
      </c>
      <c r="B487" s="43">
        <f>Compta!C488</f>
        <v>0</v>
      </c>
      <c r="C487" s="44">
        <f>Compta!D488</f>
        <v>0</v>
      </c>
      <c r="D487" s="144">
        <f>Compta!E488</f>
        <v>0</v>
      </c>
      <c r="E487" s="144">
        <f>Compta!F488</f>
        <v>0</v>
      </c>
      <c r="F487" s="136">
        <f t="shared" si="7"/>
        <v>-115.32999999999782</v>
      </c>
      <c r="G487" s="130">
        <f>Compta!H488</f>
        <v>0</v>
      </c>
    </row>
    <row r="488" spans="1:7" ht="15" customHeight="1" x14ac:dyDescent="0.25">
      <c r="A488" s="42">
        <f>Compta!B489</f>
        <v>0</v>
      </c>
      <c r="B488" s="43">
        <f>Compta!C489</f>
        <v>0</v>
      </c>
      <c r="C488" s="44">
        <f>Compta!D489</f>
        <v>0</v>
      </c>
      <c r="D488" s="144">
        <f>Compta!E489</f>
        <v>0</v>
      </c>
      <c r="E488" s="144">
        <f>Compta!F489</f>
        <v>0</v>
      </c>
      <c r="F488" s="136">
        <f t="shared" si="7"/>
        <v>667.77000000000589</v>
      </c>
      <c r="G488" s="130">
        <f>Compta!H489</f>
        <v>0</v>
      </c>
    </row>
    <row r="489" spans="1:7" ht="15" customHeight="1" x14ac:dyDescent="0.25">
      <c r="A489" s="42">
        <f>Compta!B490</f>
        <v>0</v>
      </c>
      <c r="B489" s="43">
        <f>Compta!C490</f>
        <v>0</v>
      </c>
      <c r="C489" s="44">
        <f>Compta!D490</f>
        <v>0</v>
      </c>
      <c r="D489" s="144">
        <f>Compta!E490</f>
        <v>0</v>
      </c>
      <c r="E489" s="144">
        <f>Compta!F490</f>
        <v>0</v>
      </c>
      <c r="F489" s="136">
        <f t="shared" si="7"/>
        <v>-115.32999999999782</v>
      </c>
      <c r="G489" s="130">
        <f>Compta!H490</f>
        <v>0</v>
      </c>
    </row>
    <row r="490" spans="1:7" ht="15" customHeight="1" x14ac:dyDescent="0.25">
      <c r="A490" s="42">
        <f>Compta!B491</f>
        <v>0</v>
      </c>
      <c r="B490" s="43">
        <f>Compta!C491</f>
        <v>0</v>
      </c>
      <c r="C490" s="44">
        <f>Compta!D491</f>
        <v>0</v>
      </c>
      <c r="D490" s="144">
        <f>Compta!E491</f>
        <v>0</v>
      </c>
      <c r="E490" s="144">
        <f>Compta!F491</f>
        <v>0</v>
      </c>
      <c r="F490" s="136">
        <f t="shared" si="7"/>
        <v>667.77000000000589</v>
      </c>
      <c r="G490" s="130">
        <f>Compta!H491</f>
        <v>0</v>
      </c>
    </row>
    <row r="491" spans="1:7" ht="15" customHeight="1" x14ac:dyDescent="0.25">
      <c r="A491" s="42">
        <f>Compta!B492</f>
        <v>0</v>
      </c>
      <c r="B491" s="43">
        <f>Compta!C492</f>
        <v>0</v>
      </c>
      <c r="C491" s="44">
        <f>Compta!D492</f>
        <v>0</v>
      </c>
      <c r="D491" s="144">
        <f>Compta!E492</f>
        <v>0</v>
      </c>
      <c r="E491" s="144">
        <f>Compta!F492</f>
        <v>0</v>
      </c>
      <c r="F491" s="136">
        <f t="shared" si="7"/>
        <v>-115.32999999999782</v>
      </c>
      <c r="G491" s="130">
        <f>Compta!H492</f>
        <v>0</v>
      </c>
    </row>
    <row r="492" spans="1:7" ht="15" customHeight="1" x14ac:dyDescent="0.25">
      <c r="A492" s="42">
        <f>Compta!B493</f>
        <v>0</v>
      </c>
      <c r="B492" s="43">
        <f>Compta!C493</f>
        <v>0</v>
      </c>
      <c r="C492" s="44">
        <f>Compta!D493</f>
        <v>0</v>
      </c>
      <c r="D492" s="144">
        <f>Compta!E493</f>
        <v>0</v>
      </c>
      <c r="E492" s="144">
        <f>Compta!F493</f>
        <v>0</v>
      </c>
      <c r="F492" s="136">
        <f t="shared" si="7"/>
        <v>667.77000000000589</v>
      </c>
      <c r="G492" s="130">
        <f>Compta!H493</f>
        <v>0</v>
      </c>
    </row>
    <row r="493" spans="1:7" ht="15" customHeight="1" x14ac:dyDescent="0.25">
      <c r="A493" s="42">
        <f>Compta!B494</f>
        <v>0</v>
      </c>
      <c r="B493" s="43">
        <f>Compta!C494</f>
        <v>0</v>
      </c>
      <c r="C493" s="44">
        <f>Compta!D494</f>
        <v>0</v>
      </c>
      <c r="D493" s="144">
        <f>Compta!E494</f>
        <v>0</v>
      </c>
      <c r="E493" s="144">
        <f>Compta!F494</f>
        <v>0</v>
      </c>
      <c r="F493" s="136">
        <f t="shared" si="7"/>
        <v>-115.32999999999782</v>
      </c>
      <c r="G493" s="130">
        <f>Compta!H494</f>
        <v>0</v>
      </c>
    </row>
    <row r="494" spans="1:7" ht="15" customHeight="1" x14ac:dyDescent="0.25">
      <c r="A494" s="42">
        <f>Compta!B495</f>
        <v>0</v>
      </c>
      <c r="B494" s="43">
        <f>Compta!C495</f>
        <v>0</v>
      </c>
      <c r="C494" s="44">
        <f>Compta!D495</f>
        <v>0</v>
      </c>
      <c r="D494" s="144">
        <f>Compta!E495</f>
        <v>0</v>
      </c>
      <c r="E494" s="144">
        <f>Compta!F495</f>
        <v>0</v>
      </c>
      <c r="F494" s="136">
        <f t="shared" si="7"/>
        <v>667.77000000000589</v>
      </c>
      <c r="G494" s="130">
        <f>Compta!H495</f>
        <v>0</v>
      </c>
    </row>
    <row r="495" spans="1:7" ht="15" customHeight="1" x14ac:dyDescent="0.25">
      <c r="A495" s="42">
        <f>Compta!B496</f>
        <v>0</v>
      </c>
      <c r="B495" s="43">
        <f>Compta!C496</f>
        <v>0</v>
      </c>
      <c r="C495" s="44">
        <f>Compta!D496</f>
        <v>0</v>
      </c>
      <c r="D495" s="144">
        <f>Compta!E496</f>
        <v>0</v>
      </c>
      <c r="E495" s="144">
        <f>Compta!F496</f>
        <v>0</v>
      </c>
      <c r="F495" s="136">
        <f t="shared" si="7"/>
        <v>-115.32999999999782</v>
      </c>
      <c r="G495" s="130">
        <f>Compta!H496</f>
        <v>0</v>
      </c>
    </row>
    <row r="496" spans="1:7" ht="15" customHeight="1" x14ac:dyDescent="0.25">
      <c r="A496" s="42">
        <f>Compta!B497</f>
        <v>0</v>
      </c>
      <c r="B496" s="43">
        <f>Compta!C497</f>
        <v>0</v>
      </c>
      <c r="C496" s="44">
        <f>Compta!D497</f>
        <v>0</v>
      </c>
      <c r="D496" s="144">
        <f>Compta!E497</f>
        <v>0</v>
      </c>
      <c r="E496" s="144">
        <f>Compta!F497</f>
        <v>0</v>
      </c>
      <c r="F496" s="136">
        <f t="shared" si="7"/>
        <v>667.77000000000589</v>
      </c>
      <c r="G496" s="130">
        <f>Compta!H497</f>
        <v>0</v>
      </c>
    </row>
    <row r="497" spans="1:7" ht="15" customHeight="1" x14ac:dyDescent="0.25">
      <c r="A497" s="42">
        <f>Compta!B498</f>
        <v>0</v>
      </c>
      <c r="B497" s="43">
        <f>Compta!C498</f>
        <v>0</v>
      </c>
      <c r="C497" s="44">
        <f>Compta!D498</f>
        <v>0</v>
      </c>
      <c r="D497" s="144">
        <f>Compta!E498</f>
        <v>0</v>
      </c>
      <c r="E497" s="144">
        <f>Compta!F498</f>
        <v>0</v>
      </c>
      <c r="F497" s="136">
        <f t="shared" si="7"/>
        <v>-115.32999999999782</v>
      </c>
      <c r="G497" s="130">
        <f>Compta!H498</f>
        <v>0</v>
      </c>
    </row>
    <row r="498" spans="1:7" ht="15" customHeight="1" x14ac:dyDescent="0.25">
      <c r="A498" s="42">
        <f>Compta!B499</f>
        <v>0</v>
      </c>
      <c r="B498" s="43">
        <f>Compta!C499</f>
        <v>0</v>
      </c>
      <c r="C498" s="44">
        <f>Compta!D499</f>
        <v>0</v>
      </c>
      <c r="D498" s="144">
        <f>Compta!E499</f>
        <v>0</v>
      </c>
      <c r="E498" s="144">
        <f>Compta!F499</f>
        <v>0</v>
      </c>
      <c r="F498" s="136">
        <f t="shared" si="7"/>
        <v>667.77000000000589</v>
      </c>
      <c r="G498" s="130">
        <f>Compta!H499</f>
        <v>0</v>
      </c>
    </row>
    <row r="499" spans="1:7" ht="15" customHeight="1" x14ac:dyDescent="0.25">
      <c r="A499" s="42">
        <f>Compta!B500</f>
        <v>0</v>
      </c>
      <c r="B499" s="43">
        <f>Compta!C500</f>
        <v>0</v>
      </c>
      <c r="C499" s="44">
        <f>Compta!D500</f>
        <v>0</v>
      </c>
      <c r="D499" s="144">
        <f>Compta!E500</f>
        <v>0</v>
      </c>
      <c r="E499" s="144">
        <f>Compta!F500</f>
        <v>0</v>
      </c>
      <c r="F499" s="136">
        <f t="shared" si="7"/>
        <v>-115.32999999999782</v>
      </c>
      <c r="G499" s="130">
        <f>Compta!H500</f>
        <v>0</v>
      </c>
    </row>
    <row r="500" spans="1:7" ht="15" customHeight="1" x14ac:dyDescent="0.25">
      <c r="A500" s="42">
        <f>Compta!B501</f>
        <v>0</v>
      </c>
      <c r="B500" s="43">
        <f>Compta!C501</f>
        <v>0</v>
      </c>
      <c r="C500" s="44">
        <f>Compta!D501</f>
        <v>0</v>
      </c>
      <c r="D500" s="144">
        <f>Compta!E501</f>
        <v>0</v>
      </c>
      <c r="E500" s="144">
        <f>Compta!F501</f>
        <v>0</v>
      </c>
      <c r="F500" s="136">
        <f t="shared" si="7"/>
        <v>667.77000000000589</v>
      </c>
      <c r="G500" s="130">
        <f>Compta!H501</f>
        <v>0</v>
      </c>
    </row>
    <row r="501" spans="1:7" ht="15" customHeight="1" x14ac:dyDescent="0.25">
      <c r="A501" s="42">
        <f>Compta!B502</f>
        <v>0</v>
      </c>
      <c r="B501" s="43">
        <f>Compta!C502</f>
        <v>0</v>
      </c>
      <c r="C501" s="44">
        <f>Compta!D502</f>
        <v>0</v>
      </c>
      <c r="D501" s="144">
        <f>Compta!E502</f>
        <v>0</v>
      </c>
      <c r="E501" s="144">
        <f>Compta!F502</f>
        <v>0</v>
      </c>
      <c r="F501" s="136">
        <f t="shared" si="7"/>
        <v>-115.32999999999782</v>
      </c>
      <c r="G501" s="130">
        <f>Compta!H502</f>
        <v>0</v>
      </c>
    </row>
    <row r="502" spans="1:7" ht="15" customHeight="1" x14ac:dyDescent="0.25">
      <c r="A502" s="42">
        <f>Compta!B503</f>
        <v>0</v>
      </c>
      <c r="B502" s="43">
        <f>Compta!C503</f>
        <v>0</v>
      </c>
      <c r="C502" s="44">
        <f>Compta!D503</f>
        <v>0</v>
      </c>
      <c r="D502" s="144">
        <f>Compta!E503</f>
        <v>0</v>
      </c>
      <c r="E502" s="144">
        <f>Compta!F503</f>
        <v>0</v>
      </c>
      <c r="F502" s="136">
        <f t="shared" si="7"/>
        <v>667.77000000000589</v>
      </c>
      <c r="G502" s="130">
        <f>Compta!H503</f>
        <v>0</v>
      </c>
    </row>
    <row r="503" spans="1:7" ht="15" customHeight="1" x14ac:dyDescent="0.25">
      <c r="A503" s="42">
        <f>Compta!B504</f>
        <v>0</v>
      </c>
      <c r="B503" s="43">
        <f>Compta!C504</f>
        <v>0</v>
      </c>
      <c r="C503" s="44">
        <f>Compta!D504</f>
        <v>0</v>
      </c>
      <c r="D503" s="144">
        <f>Compta!E504</f>
        <v>0</v>
      </c>
      <c r="E503" s="144">
        <f>Compta!F504</f>
        <v>0</v>
      </c>
      <c r="F503" s="136">
        <f t="shared" si="7"/>
        <v>-115.32999999999782</v>
      </c>
      <c r="G503" s="130">
        <f>Compta!H504</f>
        <v>0</v>
      </c>
    </row>
    <row r="504" spans="1:7" ht="15" customHeight="1" x14ac:dyDescent="0.25">
      <c r="A504" s="42">
        <f>Compta!B505</f>
        <v>0</v>
      </c>
      <c r="B504" s="43">
        <f>Compta!C505</f>
        <v>0</v>
      </c>
      <c r="C504" s="44">
        <f>Compta!D505</f>
        <v>0</v>
      </c>
      <c r="D504" s="144">
        <f>Compta!E505</f>
        <v>0</v>
      </c>
      <c r="E504" s="144">
        <f>Compta!F505</f>
        <v>0</v>
      </c>
      <c r="F504" s="136">
        <f t="shared" si="7"/>
        <v>667.77000000000589</v>
      </c>
      <c r="G504" s="130">
        <f>Compta!H505</f>
        <v>0</v>
      </c>
    </row>
    <row r="505" spans="1:7" ht="15" customHeight="1" x14ac:dyDescent="0.25">
      <c r="A505" s="42">
        <f>Compta!B506</f>
        <v>0</v>
      </c>
      <c r="B505" s="43">
        <f>Compta!C506</f>
        <v>0</v>
      </c>
      <c r="C505" s="44">
        <f>Compta!D506</f>
        <v>0</v>
      </c>
      <c r="D505" s="144">
        <f>Compta!E506</f>
        <v>0</v>
      </c>
      <c r="E505" s="144">
        <f>Compta!F506</f>
        <v>0</v>
      </c>
      <c r="F505" s="136">
        <f t="shared" si="7"/>
        <v>-115.32999999999782</v>
      </c>
      <c r="G505" s="130">
        <f>Compta!H506</f>
        <v>0</v>
      </c>
    </row>
    <row r="506" spans="1:7" ht="15" customHeight="1" x14ac:dyDescent="0.25">
      <c r="A506" s="42">
        <f>Compta!B507</f>
        <v>0</v>
      </c>
      <c r="B506" s="43">
        <f>Compta!C507</f>
        <v>0</v>
      </c>
      <c r="C506" s="44">
        <f>Compta!D507</f>
        <v>0</v>
      </c>
      <c r="D506" s="144">
        <f>Compta!E507</f>
        <v>0</v>
      </c>
      <c r="E506" s="144">
        <f>Compta!F507</f>
        <v>0</v>
      </c>
      <c r="F506" s="136">
        <f t="shared" si="7"/>
        <v>667.77000000000589</v>
      </c>
      <c r="G506" s="130">
        <f>Compta!H507</f>
        <v>0</v>
      </c>
    </row>
    <row r="507" spans="1:7" ht="15" customHeight="1" x14ac:dyDescent="0.25">
      <c r="A507" s="42">
        <f>Compta!B508</f>
        <v>0</v>
      </c>
      <c r="B507" s="43">
        <f>Compta!C508</f>
        <v>0</v>
      </c>
      <c r="C507" s="44">
        <f>Compta!D508</f>
        <v>0</v>
      </c>
      <c r="D507" s="144">
        <f>Compta!E508</f>
        <v>0</v>
      </c>
      <c r="E507" s="144">
        <f>Compta!F508</f>
        <v>0</v>
      </c>
      <c r="F507" s="136">
        <f t="shared" si="7"/>
        <v>-115.32999999999782</v>
      </c>
      <c r="G507" s="130">
        <f>Compta!H508</f>
        <v>0</v>
      </c>
    </row>
    <row r="508" spans="1:7" ht="15" customHeight="1" x14ac:dyDescent="0.25">
      <c r="A508" s="42">
        <f>Compta!B509</f>
        <v>0</v>
      </c>
      <c r="B508" s="43">
        <f>Compta!C509</f>
        <v>0</v>
      </c>
      <c r="C508" s="44">
        <f>Compta!D509</f>
        <v>0</v>
      </c>
      <c r="D508" s="144">
        <f>Compta!E509</f>
        <v>0</v>
      </c>
      <c r="E508" s="144">
        <f>Compta!F509</f>
        <v>0</v>
      </c>
      <c r="F508" s="136">
        <f t="shared" si="7"/>
        <v>667.77000000000589</v>
      </c>
      <c r="G508" s="130">
        <f>Compta!H509</f>
        <v>0</v>
      </c>
    </row>
    <row r="509" spans="1:7" ht="15" customHeight="1" x14ac:dyDescent="0.25">
      <c r="A509" s="42">
        <f>Compta!B510</f>
        <v>0</v>
      </c>
      <c r="B509" s="43">
        <f>Compta!C510</f>
        <v>0</v>
      </c>
      <c r="C509" s="44">
        <f>Compta!D510</f>
        <v>0</v>
      </c>
      <c r="D509" s="144">
        <f>Compta!E510</f>
        <v>0</v>
      </c>
      <c r="E509" s="144">
        <f>Compta!F510</f>
        <v>0</v>
      </c>
      <c r="F509" s="136">
        <f t="shared" si="7"/>
        <v>-115.32999999999782</v>
      </c>
      <c r="G509" s="130">
        <f>Compta!H510</f>
        <v>0</v>
      </c>
    </row>
    <row r="510" spans="1:7" ht="15" customHeight="1" x14ac:dyDescent="0.25">
      <c r="A510" s="42">
        <f>Compta!B511</f>
        <v>0</v>
      </c>
      <c r="B510" s="43">
        <f>Compta!C511</f>
        <v>0</v>
      </c>
      <c r="C510" s="44">
        <f>Compta!D511</f>
        <v>0</v>
      </c>
      <c r="D510" s="144">
        <f>Compta!E511</f>
        <v>0</v>
      </c>
      <c r="E510" s="144">
        <f>Compta!F511</f>
        <v>0</v>
      </c>
      <c r="F510" s="136">
        <f t="shared" si="7"/>
        <v>667.77000000000589</v>
      </c>
      <c r="G510" s="130">
        <f>Compta!H511</f>
        <v>0</v>
      </c>
    </row>
    <row r="511" spans="1:7" ht="15" customHeight="1" x14ac:dyDescent="0.25">
      <c r="A511" s="42">
        <f>Compta!B512</f>
        <v>0</v>
      </c>
      <c r="B511" s="43">
        <f>Compta!C512</f>
        <v>0</v>
      </c>
      <c r="C511" s="44">
        <f>Compta!D512</f>
        <v>0</v>
      </c>
      <c r="D511" s="144">
        <f>Compta!E512</f>
        <v>0</v>
      </c>
      <c r="E511" s="144">
        <f>Compta!F512</f>
        <v>0</v>
      </c>
      <c r="F511" s="136">
        <f t="shared" si="7"/>
        <v>-115.32999999999782</v>
      </c>
      <c r="G511" s="130">
        <f>Compta!H512</f>
        <v>0</v>
      </c>
    </row>
    <row r="512" spans="1:7" ht="15" customHeight="1" x14ac:dyDescent="0.25">
      <c r="A512" s="42">
        <f>Compta!B513</f>
        <v>0</v>
      </c>
      <c r="B512" s="43">
        <f>Compta!C513</f>
        <v>0</v>
      </c>
      <c r="C512" s="44">
        <f>Compta!D513</f>
        <v>0</v>
      </c>
      <c r="D512" s="144">
        <f>Compta!E513</f>
        <v>0</v>
      </c>
      <c r="E512" s="144">
        <f>Compta!F513</f>
        <v>0</v>
      </c>
      <c r="F512" s="136">
        <f t="shared" si="7"/>
        <v>667.77000000000589</v>
      </c>
      <c r="G512" s="130">
        <f>Compta!H513</f>
        <v>0</v>
      </c>
    </row>
    <row r="513" spans="1:7" ht="15" customHeight="1" x14ac:dyDescent="0.25">
      <c r="A513" s="42">
        <f>Compta!B514</f>
        <v>0</v>
      </c>
      <c r="B513" s="43">
        <f>Compta!C514</f>
        <v>0</v>
      </c>
      <c r="C513" s="44">
        <f>Compta!D514</f>
        <v>0</v>
      </c>
      <c r="D513" s="144">
        <f>Compta!E514</f>
        <v>0</v>
      </c>
      <c r="E513" s="144">
        <f>Compta!F514</f>
        <v>0</v>
      </c>
      <c r="F513" s="136">
        <f t="shared" si="7"/>
        <v>-115.32999999999782</v>
      </c>
      <c r="G513" s="130">
        <f>Compta!H514</f>
        <v>0</v>
      </c>
    </row>
    <row r="514" spans="1:7" ht="15" customHeight="1" x14ac:dyDescent="0.25">
      <c r="A514" s="42">
        <f>Compta!B515</f>
        <v>0</v>
      </c>
      <c r="B514" s="43">
        <f>Compta!C515</f>
        <v>0</v>
      </c>
      <c r="C514" s="44">
        <f>Compta!D515</f>
        <v>0</v>
      </c>
      <c r="D514" s="144">
        <f>Compta!E515</f>
        <v>0</v>
      </c>
      <c r="E514" s="144">
        <f>Compta!F515</f>
        <v>0</v>
      </c>
      <c r="F514" s="136">
        <f t="shared" si="7"/>
        <v>667.77000000000589</v>
      </c>
      <c r="G514" s="130">
        <f>Compta!H515</f>
        <v>0</v>
      </c>
    </row>
    <row r="515" spans="1:7" ht="15" customHeight="1" x14ac:dyDescent="0.25">
      <c r="A515" s="42">
        <f>Compta!B516</f>
        <v>0</v>
      </c>
      <c r="B515" s="43">
        <f>Compta!C516</f>
        <v>0</v>
      </c>
      <c r="C515" s="44">
        <f>Compta!D516</f>
        <v>0</v>
      </c>
      <c r="D515" s="144">
        <f>Compta!E516</f>
        <v>0</v>
      </c>
      <c r="E515" s="144">
        <f>Compta!F516</f>
        <v>0</v>
      </c>
      <c r="F515" s="136">
        <f t="shared" si="7"/>
        <v>-115.32999999999782</v>
      </c>
      <c r="G515" s="130">
        <f>Compta!H516</f>
        <v>0</v>
      </c>
    </row>
    <row r="516" spans="1:7" ht="15" customHeight="1" x14ac:dyDescent="0.25">
      <c r="A516" s="42">
        <f>Compta!B517</f>
        <v>0</v>
      </c>
      <c r="B516" s="43">
        <f>Compta!C517</f>
        <v>0</v>
      </c>
      <c r="C516" s="44">
        <f>Compta!D517</f>
        <v>0</v>
      </c>
      <c r="D516" s="144">
        <f>Compta!E517</f>
        <v>0</v>
      </c>
      <c r="E516" s="144">
        <f>Compta!F517</f>
        <v>0</v>
      </c>
      <c r="F516" s="136">
        <f t="shared" si="7"/>
        <v>667.77000000000589</v>
      </c>
      <c r="G516" s="130">
        <f>Compta!H517</f>
        <v>0</v>
      </c>
    </row>
    <row r="517" spans="1:7" ht="15" customHeight="1" x14ac:dyDescent="0.25">
      <c r="A517" s="42">
        <f>Compta!B518</f>
        <v>0</v>
      </c>
      <c r="B517" s="43">
        <f>Compta!C518</f>
        <v>0</v>
      </c>
      <c r="C517" s="44">
        <f>Compta!D518</f>
        <v>0</v>
      </c>
      <c r="D517" s="144">
        <f>Compta!E518</f>
        <v>0</v>
      </c>
      <c r="E517" s="144">
        <f>Compta!F518</f>
        <v>0</v>
      </c>
      <c r="F517" s="136">
        <f t="shared" si="7"/>
        <v>-115.32999999999782</v>
      </c>
      <c r="G517" s="130">
        <f>Compta!H518</f>
        <v>0</v>
      </c>
    </row>
    <row r="518" spans="1:7" ht="15" customHeight="1" x14ac:dyDescent="0.25">
      <c r="A518" s="42">
        <f>Compta!B519</f>
        <v>0</v>
      </c>
      <c r="B518" s="43">
        <f>Compta!C519</f>
        <v>0</v>
      </c>
      <c r="C518" s="44">
        <f>Compta!D519</f>
        <v>0</v>
      </c>
      <c r="D518" s="144">
        <f>Compta!E519</f>
        <v>0</v>
      </c>
      <c r="E518" s="144">
        <f>Compta!F519</f>
        <v>0</v>
      </c>
      <c r="F518" s="136">
        <f t="shared" si="7"/>
        <v>667.77000000000589</v>
      </c>
      <c r="G518" s="130">
        <f>Compta!H519</f>
        <v>0</v>
      </c>
    </row>
    <row r="519" spans="1:7" ht="15" customHeight="1" x14ac:dyDescent="0.25">
      <c r="A519" s="42">
        <f>Compta!B520</f>
        <v>0</v>
      </c>
      <c r="B519" s="43">
        <f>Compta!C520</f>
        <v>0</v>
      </c>
      <c r="C519" s="44">
        <f>Compta!D520</f>
        <v>0</v>
      </c>
      <c r="D519" s="144">
        <f>Compta!E520</f>
        <v>0</v>
      </c>
      <c r="E519" s="144">
        <f>Compta!F520</f>
        <v>0</v>
      </c>
      <c r="F519" s="136">
        <f t="shared" si="7"/>
        <v>-115.32999999999782</v>
      </c>
      <c r="G519" s="130">
        <f>Compta!H520</f>
        <v>0</v>
      </c>
    </row>
    <row r="520" spans="1:7" ht="15" customHeight="1" x14ac:dyDescent="0.25">
      <c r="A520" s="42">
        <f>Compta!B521</f>
        <v>0</v>
      </c>
      <c r="B520" s="43">
        <f>Compta!C521</f>
        <v>0</v>
      </c>
      <c r="C520" s="44">
        <f>Compta!D521</f>
        <v>0</v>
      </c>
      <c r="D520" s="144">
        <f>Compta!E521</f>
        <v>0</v>
      </c>
      <c r="E520" s="144">
        <f>Compta!F521</f>
        <v>0</v>
      </c>
      <c r="F520" s="136">
        <f t="shared" ref="F520:F549" si="8">+F518+D520-E520</f>
        <v>667.77000000000589</v>
      </c>
      <c r="G520" s="130">
        <f>Compta!H521</f>
        <v>0</v>
      </c>
    </row>
    <row r="521" spans="1:7" ht="15" customHeight="1" x14ac:dyDescent="0.25">
      <c r="A521" s="42">
        <f>Compta!B522</f>
        <v>0</v>
      </c>
      <c r="B521" s="43">
        <f>Compta!C522</f>
        <v>0</v>
      </c>
      <c r="C521" s="44">
        <f>Compta!D522</f>
        <v>0</v>
      </c>
      <c r="D521" s="144">
        <f>Compta!E522</f>
        <v>0</v>
      </c>
      <c r="E521" s="144">
        <f>Compta!F522</f>
        <v>0</v>
      </c>
      <c r="F521" s="136">
        <f t="shared" si="8"/>
        <v>-115.32999999999782</v>
      </c>
      <c r="G521" s="130">
        <f>Compta!H522</f>
        <v>0</v>
      </c>
    </row>
    <row r="522" spans="1:7" ht="15" customHeight="1" x14ac:dyDescent="0.25">
      <c r="A522" s="42">
        <f>Compta!B523</f>
        <v>0</v>
      </c>
      <c r="B522" s="43">
        <f>Compta!C523</f>
        <v>0</v>
      </c>
      <c r="C522" s="44">
        <f>Compta!D523</f>
        <v>0</v>
      </c>
      <c r="D522" s="144">
        <f>Compta!E523</f>
        <v>0</v>
      </c>
      <c r="E522" s="144">
        <f>Compta!F523</f>
        <v>0</v>
      </c>
      <c r="F522" s="136">
        <f t="shared" si="8"/>
        <v>667.77000000000589</v>
      </c>
      <c r="G522" s="130">
        <f>Compta!H523</f>
        <v>0</v>
      </c>
    </row>
    <row r="523" spans="1:7" ht="15" customHeight="1" x14ac:dyDescent="0.25">
      <c r="A523" s="42">
        <f>Compta!B524</f>
        <v>0</v>
      </c>
      <c r="B523" s="43">
        <f>Compta!C524</f>
        <v>0</v>
      </c>
      <c r="C523" s="44">
        <f>Compta!D524</f>
        <v>0</v>
      </c>
      <c r="D523" s="144">
        <f>Compta!E524</f>
        <v>0</v>
      </c>
      <c r="E523" s="144">
        <f>Compta!F524</f>
        <v>0</v>
      </c>
      <c r="F523" s="136">
        <f t="shared" si="8"/>
        <v>-115.32999999999782</v>
      </c>
      <c r="G523" s="130">
        <f>Compta!H524</f>
        <v>0</v>
      </c>
    </row>
    <row r="524" spans="1:7" ht="15" customHeight="1" x14ac:dyDescent="0.25">
      <c r="A524" s="42">
        <f>Compta!B525</f>
        <v>0</v>
      </c>
      <c r="B524" s="43">
        <f>Compta!C525</f>
        <v>0</v>
      </c>
      <c r="C524" s="44">
        <f>Compta!D525</f>
        <v>0</v>
      </c>
      <c r="D524" s="144">
        <f>Compta!E525</f>
        <v>0</v>
      </c>
      <c r="E524" s="144">
        <f>Compta!F525</f>
        <v>0</v>
      </c>
      <c r="F524" s="136">
        <f t="shared" si="8"/>
        <v>667.77000000000589</v>
      </c>
      <c r="G524" s="130">
        <f>Compta!H525</f>
        <v>0</v>
      </c>
    </row>
    <row r="525" spans="1:7" ht="15" customHeight="1" x14ac:dyDescent="0.25">
      <c r="A525" s="42">
        <f>Compta!B526</f>
        <v>0</v>
      </c>
      <c r="B525" s="43">
        <f>Compta!C526</f>
        <v>0</v>
      </c>
      <c r="C525" s="44">
        <f>Compta!D526</f>
        <v>0</v>
      </c>
      <c r="D525" s="144">
        <f>Compta!E526</f>
        <v>0</v>
      </c>
      <c r="E525" s="144">
        <f>Compta!F526</f>
        <v>0</v>
      </c>
      <c r="F525" s="136">
        <f t="shared" si="8"/>
        <v>-115.32999999999782</v>
      </c>
      <c r="G525" s="130">
        <f>Compta!H526</f>
        <v>0</v>
      </c>
    </row>
    <row r="526" spans="1:7" ht="15" customHeight="1" x14ac:dyDescent="0.25">
      <c r="A526" s="42">
        <f>Compta!B527</f>
        <v>0</v>
      </c>
      <c r="B526" s="43">
        <f>Compta!C527</f>
        <v>0</v>
      </c>
      <c r="C526" s="44">
        <f>Compta!D527</f>
        <v>0</v>
      </c>
      <c r="D526" s="144">
        <f>Compta!E527</f>
        <v>0</v>
      </c>
      <c r="E526" s="144">
        <f>Compta!F527</f>
        <v>0</v>
      </c>
      <c r="F526" s="136">
        <f t="shared" si="8"/>
        <v>667.77000000000589</v>
      </c>
      <c r="G526" s="130">
        <f>Compta!H527</f>
        <v>0</v>
      </c>
    </row>
    <row r="527" spans="1:7" ht="15" customHeight="1" x14ac:dyDescent="0.25">
      <c r="A527" s="42">
        <f>Compta!B528</f>
        <v>0</v>
      </c>
      <c r="B527" s="43">
        <f>Compta!C528</f>
        <v>0</v>
      </c>
      <c r="C527" s="44">
        <f>Compta!D528</f>
        <v>0</v>
      </c>
      <c r="D527" s="144">
        <f>Compta!E528</f>
        <v>0</v>
      </c>
      <c r="E527" s="144">
        <f>Compta!F528</f>
        <v>0</v>
      </c>
      <c r="F527" s="136">
        <f t="shared" si="8"/>
        <v>-115.32999999999782</v>
      </c>
      <c r="G527" s="130">
        <f>Compta!H528</f>
        <v>0</v>
      </c>
    </row>
    <row r="528" spans="1:7" ht="15" customHeight="1" x14ac:dyDescent="0.25">
      <c r="A528" s="42">
        <f>Compta!B529</f>
        <v>0</v>
      </c>
      <c r="B528" s="43">
        <f>Compta!C529</f>
        <v>0</v>
      </c>
      <c r="C528" s="44">
        <f>Compta!D529</f>
        <v>0</v>
      </c>
      <c r="D528" s="144">
        <f>Compta!E529</f>
        <v>0</v>
      </c>
      <c r="E528" s="144">
        <f>Compta!F529</f>
        <v>0</v>
      </c>
      <c r="F528" s="136">
        <f t="shared" si="8"/>
        <v>667.77000000000589</v>
      </c>
      <c r="G528" s="130">
        <f>Compta!H529</f>
        <v>0</v>
      </c>
    </row>
    <row r="529" spans="1:7" ht="15" customHeight="1" x14ac:dyDescent="0.25">
      <c r="A529" s="42">
        <f>Compta!B530</f>
        <v>0</v>
      </c>
      <c r="B529" s="43">
        <f>Compta!C530</f>
        <v>0</v>
      </c>
      <c r="C529" s="44">
        <f>Compta!D530</f>
        <v>0</v>
      </c>
      <c r="D529" s="144">
        <f>Compta!E530</f>
        <v>0</v>
      </c>
      <c r="E529" s="144">
        <f>Compta!F530</f>
        <v>0</v>
      </c>
      <c r="F529" s="136">
        <f t="shared" si="8"/>
        <v>-115.32999999999782</v>
      </c>
      <c r="G529" s="130">
        <f>Compta!H530</f>
        <v>0</v>
      </c>
    </row>
    <row r="530" spans="1:7" ht="15" customHeight="1" x14ac:dyDescent="0.25">
      <c r="A530" s="42">
        <f>Compta!B531</f>
        <v>0</v>
      </c>
      <c r="B530" s="43">
        <f>Compta!C531</f>
        <v>0</v>
      </c>
      <c r="C530" s="44">
        <f>Compta!D531</f>
        <v>0</v>
      </c>
      <c r="D530" s="144">
        <f>Compta!E531</f>
        <v>0</v>
      </c>
      <c r="E530" s="144">
        <f>Compta!F531</f>
        <v>0</v>
      </c>
      <c r="F530" s="136">
        <f t="shared" si="8"/>
        <v>667.77000000000589</v>
      </c>
      <c r="G530" s="130">
        <f>Compta!H531</f>
        <v>0</v>
      </c>
    </row>
    <row r="531" spans="1:7" ht="15" customHeight="1" x14ac:dyDescent="0.25">
      <c r="A531" s="42">
        <f>Compta!B532</f>
        <v>0</v>
      </c>
      <c r="B531" s="43">
        <f>Compta!C532</f>
        <v>0</v>
      </c>
      <c r="C531" s="44">
        <f>Compta!D532</f>
        <v>0</v>
      </c>
      <c r="D531" s="144">
        <f>Compta!E532</f>
        <v>0</v>
      </c>
      <c r="E531" s="144">
        <f>Compta!F532</f>
        <v>0</v>
      </c>
      <c r="F531" s="136">
        <f t="shared" si="8"/>
        <v>-115.32999999999782</v>
      </c>
      <c r="G531" s="130">
        <f>Compta!H532</f>
        <v>0</v>
      </c>
    </row>
    <row r="532" spans="1:7" ht="15" customHeight="1" x14ac:dyDescent="0.25">
      <c r="A532" s="42">
        <f>Compta!B533</f>
        <v>0</v>
      </c>
      <c r="B532" s="43">
        <f>Compta!C533</f>
        <v>0</v>
      </c>
      <c r="C532" s="44">
        <f>Compta!D533</f>
        <v>0</v>
      </c>
      <c r="D532" s="144">
        <f>Compta!E533</f>
        <v>0</v>
      </c>
      <c r="E532" s="144">
        <f>Compta!F533</f>
        <v>0</v>
      </c>
      <c r="F532" s="136">
        <f t="shared" si="8"/>
        <v>667.77000000000589</v>
      </c>
      <c r="G532" s="130">
        <f>Compta!H533</f>
        <v>0</v>
      </c>
    </row>
    <row r="533" spans="1:7" ht="15" customHeight="1" x14ac:dyDescent="0.25">
      <c r="A533" s="42">
        <f>Compta!B534</f>
        <v>0</v>
      </c>
      <c r="B533" s="43">
        <f>Compta!C534</f>
        <v>0</v>
      </c>
      <c r="C533" s="44">
        <f>Compta!D534</f>
        <v>0</v>
      </c>
      <c r="D533" s="144">
        <f>Compta!E534</f>
        <v>0</v>
      </c>
      <c r="E533" s="144">
        <f>Compta!F534</f>
        <v>0</v>
      </c>
      <c r="F533" s="136">
        <f t="shared" si="8"/>
        <v>-115.32999999999782</v>
      </c>
      <c r="G533" s="130">
        <f>Compta!H534</f>
        <v>0</v>
      </c>
    </row>
    <row r="534" spans="1:7" ht="15" customHeight="1" x14ac:dyDescent="0.25">
      <c r="A534" s="42">
        <f>Compta!B535</f>
        <v>0</v>
      </c>
      <c r="B534" s="43">
        <f>Compta!C535</f>
        <v>0</v>
      </c>
      <c r="C534" s="44">
        <f>Compta!D535</f>
        <v>0</v>
      </c>
      <c r="D534" s="144">
        <f>Compta!E535</f>
        <v>0</v>
      </c>
      <c r="E534" s="144">
        <f>Compta!F535</f>
        <v>0</v>
      </c>
      <c r="F534" s="136">
        <f t="shared" si="8"/>
        <v>667.77000000000589</v>
      </c>
      <c r="G534" s="130">
        <f>Compta!H535</f>
        <v>0</v>
      </c>
    </row>
    <row r="535" spans="1:7" ht="15" customHeight="1" x14ac:dyDescent="0.25">
      <c r="A535" s="42">
        <f>Compta!B536</f>
        <v>0</v>
      </c>
      <c r="B535" s="43">
        <f>Compta!C536</f>
        <v>0</v>
      </c>
      <c r="C535" s="44">
        <f>Compta!D536</f>
        <v>0</v>
      </c>
      <c r="D535" s="144">
        <f>Compta!E536</f>
        <v>0</v>
      </c>
      <c r="E535" s="144">
        <f>Compta!F536</f>
        <v>0</v>
      </c>
      <c r="F535" s="136">
        <f t="shared" si="8"/>
        <v>-115.32999999999782</v>
      </c>
      <c r="G535" s="130">
        <f>Compta!H536</f>
        <v>0</v>
      </c>
    </row>
    <row r="536" spans="1:7" ht="15" customHeight="1" x14ac:dyDescent="0.25">
      <c r="A536" s="42">
        <f>Compta!B537</f>
        <v>0</v>
      </c>
      <c r="B536" s="43">
        <f>Compta!C537</f>
        <v>0</v>
      </c>
      <c r="C536" s="44">
        <f>Compta!D537</f>
        <v>0</v>
      </c>
      <c r="D536" s="144">
        <f>Compta!E537</f>
        <v>0</v>
      </c>
      <c r="E536" s="144">
        <f>Compta!F537</f>
        <v>0</v>
      </c>
      <c r="F536" s="136">
        <f t="shared" si="8"/>
        <v>667.77000000000589</v>
      </c>
      <c r="G536" s="130">
        <f>Compta!H537</f>
        <v>0</v>
      </c>
    </row>
    <row r="537" spans="1:7" ht="15" customHeight="1" x14ac:dyDescent="0.25">
      <c r="A537" s="42">
        <f>Compta!B538</f>
        <v>0</v>
      </c>
      <c r="B537" s="43">
        <f>Compta!C538</f>
        <v>0</v>
      </c>
      <c r="C537" s="44">
        <f>Compta!D538</f>
        <v>0</v>
      </c>
      <c r="D537" s="144">
        <f>Compta!E538</f>
        <v>0</v>
      </c>
      <c r="E537" s="144">
        <f>Compta!F538</f>
        <v>0</v>
      </c>
      <c r="F537" s="136">
        <f t="shared" si="8"/>
        <v>-115.32999999999782</v>
      </c>
      <c r="G537" s="130">
        <f>Compta!H538</f>
        <v>0</v>
      </c>
    </row>
    <row r="538" spans="1:7" ht="15" customHeight="1" x14ac:dyDescent="0.25">
      <c r="A538" s="42">
        <f>Compta!B539</f>
        <v>0</v>
      </c>
      <c r="B538" s="43">
        <f>Compta!C539</f>
        <v>0</v>
      </c>
      <c r="C538" s="44">
        <f>Compta!D539</f>
        <v>0</v>
      </c>
      <c r="D538" s="144">
        <f>Compta!E539</f>
        <v>0</v>
      </c>
      <c r="E538" s="144">
        <f>Compta!F539</f>
        <v>0</v>
      </c>
      <c r="F538" s="136">
        <f t="shared" si="8"/>
        <v>667.77000000000589</v>
      </c>
      <c r="G538" s="130">
        <f>Compta!H539</f>
        <v>0</v>
      </c>
    </row>
    <row r="539" spans="1:7" ht="15" customHeight="1" x14ac:dyDescent="0.25">
      <c r="A539" s="42">
        <f>Compta!B540</f>
        <v>0</v>
      </c>
      <c r="B539" s="43">
        <f>Compta!C540</f>
        <v>0</v>
      </c>
      <c r="C539" s="44">
        <f>Compta!D540</f>
        <v>0</v>
      </c>
      <c r="D539" s="144">
        <f>Compta!E540</f>
        <v>0</v>
      </c>
      <c r="E539" s="144">
        <f>Compta!F540</f>
        <v>0</v>
      </c>
      <c r="F539" s="136">
        <f t="shared" si="8"/>
        <v>-115.32999999999782</v>
      </c>
      <c r="G539" s="130">
        <f>Compta!H540</f>
        <v>0</v>
      </c>
    </row>
    <row r="540" spans="1:7" ht="15" customHeight="1" x14ac:dyDescent="0.25">
      <c r="A540" s="42">
        <f>Compta!B541</f>
        <v>0</v>
      </c>
      <c r="B540" s="43">
        <f>Compta!C541</f>
        <v>0</v>
      </c>
      <c r="C540" s="44">
        <f>Compta!D541</f>
        <v>0</v>
      </c>
      <c r="D540" s="144">
        <f>Compta!E541</f>
        <v>0</v>
      </c>
      <c r="E540" s="144">
        <f>Compta!F541</f>
        <v>0</v>
      </c>
      <c r="F540" s="136">
        <f t="shared" si="8"/>
        <v>667.77000000000589</v>
      </c>
      <c r="G540" s="130">
        <f>Compta!H541</f>
        <v>0</v>
      </c>
    </row>
    <row r="541" spans="1:7" ht="15" customHeight="1" x14ac:dyDescent="0.25">
      <c r="A541" s="42">
        <f>Compta!B542</f>
        <v>0</v>
      </c>
      <c r="B541" s="43">
        <f>Compta!C542</f>
        <v>0</v>
      </c>
      <c r="C541" s="44">
        <f>Compta!D542</f>
        <v>0</v>
      </c>
      <c r="D541" s="144">
        <f>Compta!E542</f>
        <v>0</v>
      </c>
      <c r="E541" s="144">
        <f>Compta!F542</f>
        <v>0</v>
      </c>
      <c r="F541" s="136">
        <f t="shared" si="8"/>
        <v>-115.32999999999782</v>
      </c>
      <c r="G541" s="130">
        <f>Compta!H542</f>
        <v>0</v>
      </c>
    </row>
    <row r="542" spans="1:7" ht="15" customHeight="1" x14ac:dyDescent="0.25">
      <c r="A542" s="42">
        <f>Compta!B543</f>
        <v>0</v>
      </c>
      <c r="B542" s="43">
        <f>Compta!C543</f>
        <v>0</v>
      </c>
      <c r="C542" s="44">
        <f>Compta!D543</f>
        <v>0</v>
      </c>
      <c r="D542" s="144">
        <f>Compta!E543</f>
        <v>0</v>
      </c>
      <c r="E542" s="144">
        <f>Compta!F543</f>
        <v>0</v>
      </c>
      <c r="F542" s="136">
        <f t="shared" si="8"/>
        <v>667.77000000000589</v>
      </c>
      <c r="G542" s="130">
        <f>Compta!H543</f>
        <v>0</v>
      </c>
    </row>
    <row r="543" spans="1:7" ht="15" customHeight="1" x14ac:dyDescent="0.25">
      <c r="A543" s="42">
        <f>Compta!B544</f>
        <v>0</v>
      </c>
      <c r="B543" s="43">
        <f>Compta!C544</f>
        <v>0</v>
      </c>
      <c r="C543" s="44">
        <f>Compta!D544</f>
        <v>0</v>
      </c>
      <c r="D543" s="144">
        <f>Compta!E544</f>
        <v>0</v>
      </c>
      <c r="E543" s="144">
        <f>Compta!F544</f>
        <v>0</v>
      </c>
      <c r="F543" s="136">
        <f t="shared" si="8"/>
        <v>-115.32999999999782</v>
      </c>
      <c r="G543" s="130">
        <f>Compta!H544</f>
        <v>0</v>
      </c>
    </row>
    <row r="544" spans="1:7" ht="15" customHeight="1" x14ac:dyDescent="0.25">
      <c r="A544" s="42">
        <f>Compta!B545</f>
        <v>0</v>
      </c>
      <c r="B544" s="43">
        <f>Compta!C545</f>
        <v>0</v>
      </c>
      <c r="C544" s="44">
        <f>Compta!D545</f>
        <v>0</v>
      </c>
      <c r="D544" s="144">
        <f>Compta!E545</f>
        <v>0</v>
      </c>
      <c r="E544" s="144">
        <f>Compta!F545</f>
        <v>0</v>
      </c>
      <c r="F544" s="136">
        <f t="shared" si="8"/>
        <v>667.77000000000589</v>
      </c>
      <c r="G544" s="130">
        <f>Compta!H545</f>
        <v>0</v>
      </c>
    </row>
    <row r="545" spans="1:7" ht="15" customHeight="1" x14ac:dyDescent="0.25">
      <c r="A545" s="42">
        <f>Compta!B546</f>
        <v>0</v>
      </c>
      <c r="B545" s="43">
        <f>Compta!C546</f>
        <v>0</v>
      </c>
      <c r="C545" s="44">
        <f>Compta!D546</f>
        <v>0</v>
      </c>
      <c r="D545" s="144">
        <f>Compta!E546</f>
        <v>0</v>
      </c>
      <c r="E545" s="144">
        <f>Compta!F546</f>
        <v>0</v>
      </c>
      <c r="F545" s="136">
        <f t="shared" si="8"/>
        <v>-115.32999999999782</v>
      </c>
      <c r="G545" s="130">
        <f>Compta!H546</f>
        <v>0</v>
      </c>
    </row>
    <row r="546" spans="1:7" ht="15" customHeight="1" x14ac:dyDescent="0.25">
      <c r="A546" s="42">
        <f>Compta!B547</f>
        <v>0</v>
      </c>
      <c r="B546" s="43">
        <f>Compta!C547</f>
        <v>0</v>
      </c>
      <c r="C546" s="44">
        <f>Compta!D547</f>
        <v>0</v>
      </c>
      <c r="D546" s="144">
        <f>Compta!E547</f>
        <v>0</v>
      </c>
      <c r="E546" s="144">
        <f>Compta!F547</f>
        <v>0</v>
      </c>
      <c r="F546" s="136">
        <f t="shared" si="8"/>
        <v>667.77000000000589</v>
      </c>
      <c r="G546" s="130">
        <f>Compta!H547</f>
        <v>0</v>
      </c>
    </row>
    <row r="547" spans="1:7" ht="15" customHeight="1" x14ac:dyDescent="0.25">
      <c r="A547" s="42">
        <f>Compta!B548</f>
        <v>0</v>
      </c>
      <c r="B547" s="43">
        <f>Compta!C548</f>
        <v>0</v>
      </c>
      <c r="C547" s="44">
        <f>Compta!D548</f>
        <v>0</v>
      </c>
      <c r="D547" s="144">
        <f>Compta!E548</f>
        <v>0</v>
      </c>
      <c r="E547" s="144">
        <f>Compta!F548</f>
        <v>0</v>
      </c>
      <c r="F547" s="136">
        <f t="shared" si="8"/>
        <v>-115.32999999999782</v>
      </c>
      <c r="G547" s="130">
        <f>Compta!H548</f>
        <v>0</v>
      </c>
    </row>
    <row r="548" spans="1:7" ht="15" customHeight="1" x14ac:dyDescent="0.25">
      <c r="A548" s="42">
        <f>Compta!B549</f>
        <v>0</v>
      </c>
      <c r="B548" s="43">
        <f>Compta!C549</f>
        <v>0</v>
      </c>
      <c r="C548" s="44">
        <f>Compta!D549</f>
        <v>0</v>
      </c>
      <c r="D548" s="144">
        <f>Compta!E549</f>
        <v>0</v>
      </c>
      <c r="E548" s="144">
        <f>Compta!F549</f>
        <v>0</v>
      </c>
      <c r="F548" s="136">
        <f t="shared" si="8"/>
        <v>667.77000000000589</v>
      </c>
      <c r="G548" s="130">
        <f>Compta!H549</f>
        <v>0</v>
      </c>
    </row>
    <row r="549" spans="1:7" ht="15" customHeight="1" x14ac:dyDescent="0.25">
      <c r="A549" s="42">
        <f>Compta!B550</f>
        <v>0</v>
      </c>
      <c r="B549" s="43">
        <f>Compta!C550</f>
        <v>0</v>
      </c>
      <c r="C549" s="44">
        <f>Compta!D550</f>
        <v>0</v>
      </c>
      <c r="D549" s="144">
        <f>Compta!E550</f>
        <v>0</v>
      </c>
      <c r="E549" s="144">
        <f>Compta!F550</f>
        <v>0</v>
      </c>
      <c r="F549" s="136">
        <f t="shared" si="8"/>
        <v>-115.32999999999782</v>
      </c>
      <c r="G549" s="130">
        <f>Compta!H550</f>
        <v>0</v>
      </c>
    </row>
    <row r="550" spans="1:7" ht="15" customHeight="1" x14ac:dyDescent="0.25">
      <c r="A550" s="42"/>
      <c r="B550" s="43"/>
      <c r="C550" s="44"/>
      <c r="D550" s="144"/>
      <c r="E550" s="144"/>
      <c r="F550" s="136"/>
      <c r="G550" s="130"/>
    </row>
    <row r="551" spans="1:7" ht="15" customHeight="1" thickBot="1" x14ac:dyDescent="0.3">
      <c r="A551" s="42"/>
      <c r="B551" s="43"/>
      <c r="C551" s="44"/>
      <c r="D551" s="144"/>
      <c r="E551" s="144"/>
      <c r="F551" s="136"/>
      <c r="G551" s="130"/>
    </row>
    <row r="552" spans="1:7" ht="24.9" customHeight="1" x14ac:dyDescent="0.3">
      <c r="A552" s="349" t="s">
        <v>14</v>
      </c>
      <c r="B552" s="350"/>
      <c r="C552" s="137">
        <f>SUM(D6:D549)</f>
        <v>46118.670000000006</v>
      </c>
      <c r="D552" s="141" t="s">
        <v>115</v>
      </c>
      <c r="E552" s="142" t="s">
        <v>115</v>
      </c>
      <c r="F552" s="45"/>
    </row>
    <row r="553" spans="1:7" ht="24.9" customHeight="1" x14ac:dyDescent="0.3">
      <c r="A553" s="351" t="s">
        <v>13</v>
      </c>
      <c r="B553" s="352"/>
      <c r="C553" s="138">
        <f>SUM(E6:E549)</f>
        <v>45566.230000000025</v>
      </c>
      <c r="D553" s="139" t="s">
        <v>156</v>
      </c>
      <c r="E553" s="140" t="s">
        <v>157</v>
      </c>
      <c r="F553" s="45"/>
      <c r="G553" s="145"/>
    </row>
    <row r="554" spans="1:7" ht="24.9" customHeight="1" x14ac:dyDescent="0.3">
      <c r="A554" s="351" t="s">
        <v>183</v>
      </c>
      <c r="B554" s="352"/>
      <c r="C554" s="148">
        <f>Compta!E554</f>
        <v>18424.770000000044</v>
      </c>
      <c r="D554" s="149"/>
      <c r="E554" s="150"/>
      <c r="F554" s="45"/>
      <c r="G554" s="145"/>
    </row>
    <row r="555" spans="1:7" ht="24.9" customHeight="1" thickBot="1" x14ac:dyDescent="0.35">
      <c r="A555" s="353" t="s">
        <v>115</v>
      </c>
      <c r="B555" s="354"/>
      <c r="C555" s="35">
        <f>C552-C553+C554</f>
        <v>18977.210000000025</v>
      </c>
      <c r="D555" s="36"/>
      <c r="E555" s="37">
        <f>C555+D555</f>
        <v>18977.210000000025</v>
      </c>
      <c r="F555" s="45"/>
    </row>
    <row r="556" spans="1:7" ht="12" hidden="1" customHeight="1" x14ac:dyDescent="0.3">
      <c r="A556" s="46"/>
      <c r="B556" s="47"/>
      <c r="C556" s="48"/>
      <c r="D556" s="49"/>
      <c r="E556" s="49"/>
      <c r="F556" s="45"/>
    </row>
    <row r="557" spans="1:7" ht="24.9" hidden="1" customHeight="1" x14ac:dyDescent="0.3">
      <c r="A557" s="50"/>
      <c r="B557" s="47"/>
      <c r="C557" s="360" t="s">
        <v>159</v>
      </c>
      <c r="D557" s="361"/>
      <c r="E557" s="361"/>
      <c r="F557" s="38">
        <f>SUMIF($B$6:$B$551,"=164000",$D$6:$D$551)</f>
        <v>0</v>
      </c>
    </row>
    <row r="558" spans="1:7" ht="24.9" hidden="1" customHeight="1" x14ac:dyDescent="0.3">
      <c r="A558" s="46"/>
      <c r="B558" s="47"/>
      <c r="C558" s="362" t="s">
        <v>160</v>
      </c>
      <c r="D558" s="363"/>
      <c r="E558" s="363"/>
      <c r="F558" s="39">
        <f>SUMIF($B$6:$B$551,"=164000",$E$6:$E$551)</f>
        <v>0</v>
      </c>
    </row>
    <row r="559" spans="1:7" ht="24.9" hidden="1" customHeight="1" thickBot="1" x14ac:dyDescent="0.3">
      <c r="A559" s="51"/>
      <c r="B559" s="28"/>
      <c r="C559" s="378" t="s">
        <v>158</v>
      </c>
      <c r="D559" s="379"/>
      <c r="E559" s="379"/>
      <c r="F559" s="40">
        <f>F557-F558</f>
        <v>0</v>
      </c>
    </row>
    <row r="560" spans="1:7" ht="12" hidden="1" customHeight="1" x14ac:dyDescent="0.25">
      <c r="A560" s="28"/>
      <c r="B560" s="28"/>
      <c r="C560" s="29"/>
      <c r="D560" s="30"/>
      <c r="E560" s="30"/>
      <c r="F560" s="53"/>
    </row>
    <row r="561" spans="1:7" ht="12" customHeight="1" x14ac:dyDescent="0.25">
      <c r="A561" s="28"/>
      <c r="B561" s="28"/>
      <c r="C561" s="29"/>
      <c r="D561" s="30"/>
      <c r="E561" s="30"/>
      <c r="F561" s="29"/>
    </row>
    <row r="562" spans="1:7" ht="30" customHeight="1" x14ac:dyDescent="0.25">
      <c r="A562" s="370" t="s">
        <v>214</v>
      </c>
      <c r="B562" s="412"/>
      <c r="C562" s="412"/>
      <c r="D562" s="412"/>
      <c r="E562" s="412"/>
      <c r="F562" s="412"/>
      <c r="G562" s="371"/>
    </row>
    <row r="563" spans="1:7" ht="12" customHeight="1" thickBot="1" x14ac:dyDescent="0.35">
      <c r="A563" s="52"/>
      <c r="B563" s="52"/>
      <c r="C563" s="54"/>
      <c r="D563" s="55"/>
      <c r="E563" s="56"/>
      <c r="F563" s="57"/>
    </row>
    <row r="564" spans="1:7" ht="12" hidden="1" customHeight="1" x14ac:dyDescent="0.3">
      <c r="A564" s="65"/>
      <c r="B564" s="66"/>
      <c r="C564" s="72"/>
      <c r="D564" s="73"/>
      <c r="E564" s="73"/>
      <c r="F564" s="74"/>
    </row>
    <row r="565" spans="1:7" ht="20.149999999999999" customHeight="1" x14ac:dyDescent="0.25">
      <c r="A565" s="372" t="s">
        <v>2</v>
      </c>
      <c r="B565" s="373"/>
      <c r="C565" s="373"/>
      <c r="D565" s="373"/>
      <c r="E565" s="373"/>
      <c r="F565" s="374"/>
      <c r="G565" t="s">
        <v>212</v>
      </c>
    </row>
    <row r="566" spans="1:7" ht="12" customHeight="1" x14ac:dyDescent="0.3">
      <c r="A566" s="68"/>
      <c r="B566" s="28"/>
      <c r="C566" s="29"/>
      <c r="D566" s="62"/>
      <c r="E566" s="62"/>
      <c r="F566" s="67"/>
      <c r="G566" s="146" t="s">
        <v>186</v>
      </c>
    </row>
    <row r="567" spans="1:7" ht="15" customHeight="1" x14ac:dyDescent="0.25">
      <c r="A567" s="58"/>
      <c r="B567" s="80">
        <v>740100</v>
      </c>
      <c r="C567" s="106" t="s">
        <v>4</v>
      </c>
      <c r="D567" s="100"/>
      <c r="E567" s="101"/>
      <c r="F567" s="39">
        <f>SUMIF($B$6:$B$551,"=740100",$D$6:$D$551)</f>
        <v>0</v>
      </c>
      <c r="G567" s="146">
        <f>F567/F637</f>
        <v>0</v>
      </c>
    </row>
    <row r="568" spans="1:7" ht="15" customHeight="1" x14ac:dyDescent="0.25">
      <c r="A568" s="58"/>
      <c r="B568" s="84">
        <v>740200</v>
      </c>
      <c r="C568" s="93" t="s">
        <v>5</v>
      </c>
      <c r="D568" s="82"/>
      <c r="E568" s="94"/>
      <c r="F568" s="104">
        <f>SUMIF($B$6:$B$551,"=740200",$D$6:$D$551)</f>
        <v>0</v>
      </c>
      <c r="G568" s="146">
        <f>F568/F637</f>
        <v>0</v>
      </c>
    </row>
    <row r="569" spans="1:7" ht="15" customHeight="1" x14ac:dyDescent="0.25">
      <c r="A569" s="58"/>
      <c r="B569" s="84">
        <v>740300</v>
      </c>
      <c r="C569" s="93" t="s">
        <v>6</v>
      </c>
      <c r="D569" s="82"/>
      <c r="E569" s="94"/>
      <c r="F569" s="104">
        <f>SUMIF($B$6:$B$551,"=740300",$D$6:$D$551)</f>
        <v>0</v>
      </c>
      <c r="G569" s="146">
        <f>F569/F637</f>
        <v>0</v>
      </c>
    </row>
    <row r="570" spans="1:7" ht="15" customHeight="1" x14ac:dyDescent="0.25">
      <c r="A570" s="58"/>
      <c r="B570" s="84">
        <v>740400</v>
      </c>
      <c r="C570" s="93" t="s">
        <v>7</v>
      </c>
      <c r="D570" s="82"/>
      <c r="E570" s="94"/>
      <c r="F570" s="104">
        <f>SUMIF($B$6:$B$551,"=740400",$D$6:$D$551)</f>
        <v>0</v>
      </c>
      <c r="G570" s="146">
        <f>F570/F637</f>
        <v>0</v>
      </c>
    </row>
    <row r="571" spans="1:7" ht="15" customHeight="1" x14ac:dyDescent="0.25">
      <c r="A571" s="58"/>
      <c r="B571" s="84">
        <v>740500</v>
      </c>
      <c r="C571" s="93" t="s">
        <v>8</v>
      </c>
      <c r="D571" s="82"/>
      <c r="E571" s="94"/>
      <c r="F571" s="104">
        <f>SUMIF($B$6:$B$551,"=740500",$D$6:$D$551)</f>
        <v>0</v>
      </c>
      <c r="G571" s="146">
        <f>F571/F637</f>
        <v>0</v>
      </c>
    </row>
    <row r="572" spans="1:7" ht="15" customHeight="1" x14ac:dyDescent="0.25">
      <c r="A572" s="58"/>
      <c r="B572" s="84">
        <v>740600</v>
      </c>
      <c r="C572" s="93" t="s">
        <v>9</v>
      </c>
      <c r="D572" s="82"/>
      <c r="E572" s="94"/>
      <c r="F572" s="104">
        <f>SUMIF($B$6:$B$551,"=740600",$D$6:$D$551)</f>
        <v>0</v>
      </c>
      <c r="G572" s="146">
        <f>F572/F637</f>
        <v>0</v>
      </c>
    </row>
    <row r="573" spans="1:7" ht="15" customHeight="1" x14ac:dyDescent="0.25">
      <c r="A573" s="58"/>
      <c r="B573" s="84">
        <v>740900</v>
      </c>
      <c r="C573" s="93" t="s">
        <v>10</v>
      </c>
      <c r="D573" s="82"/>
      <c r="E573" s="94"/>
      <c r="F573" s="104">
        <f>SUMIF($B$6:$B$551,"=740900",$D$6:$D$551)</f>
        <v>5000</v>
      </c>
      <c r="G573" s="146">
        <f>F573/F637</f>
        <v>0.10841596255919782</v>
      </c>
    </row>
    <row r="574" spans="1:7" ht="15" customHeight="1" x14ac:dyDescent="0.25">
      <c r="A574" s="58"/>
      <c r="B574" s="84">
        <v>740910</v>
      </c>
      <c r="C574" s="93" t="s">
        <v>11</v>
      </c>
      <c r="D574" s="82"/>
      <c r="E574" s="94"/>
      <c r="F574" s="104">
        <f>SUMIF($B$6:$B$551,"=740910",$D$6:$D$551)</f>
        <v>0</v>
      </c>
      <c r="G574" s="146">
        <f>F574/F637</f>
        <v>0</v>
      </c>
    </row>
    <row r="575" spans="1:7" ht="15" customHeight="1" x14ac:dyDescent="0.25">
      <c r="A575" s="58"/>
      <c r="B575" s="84">
        <v>740920</v>
      </c>
      <c r="C575" s="93" t="s">
        <v>12</v>
      </c>
      <c r="D575" s="82"/>
      <c r="E575" s="94"/>
      <c r="F575" s="104">
        <f>SUMIF($B$6:$B$551,"=740920",$D$6:$D$551)</f>
        <v>0</v>
      </c>
      <c r="G575" s="146">
        <f>F575/F637</f>
        <v>0</v>
      </c>
    </row>
    <row r="576" spans="1:7" ht="12.9" customHeight="1" x14ac:dyDescent="0.25">
      <c r="A576" s="58"/>
      <c r="B576" s="84"/>
      <c r="C576" s="93"/>
      <c r="D576" s="82"/>
      <c r="E576" s="94"/>
      <c r="F576" s="105"/>
      <c r="G576" s="146" t="s">
        <v>184</v>
      </c>
    </row>
    <row r="577" spans="1:7" ht="15" customHeight="1" x14ac:dyDescent="0.25">
      <c r="A577" s="58"/>
      <c r="B577" s="84">
        <v>756100</v>
      </c>
      <c r="C577" s="93" t="s">
        <v>15</v>
      </c>
      <c r="D577" s="82"/>
      <c r="E577" s="94"/>
      <c r="F577" s="104">
        <f>SUMIF($B$6:$B$551,"=756100",$D$6:$D$551)</f>
        <v>0</v>
      </c>
      <c r="G577" s="146">
        <f>F577/F637</f>
        <v>0</v>
      </c>
    </row>
    <row r="578" spans="1:7" ht="15" customHeight="1" x14ac:dyDescent="0.25">
      <c r="A578" s="58"/>
      <c r="B578" s="84">
        <v>756300</v>
      </c>
      <c r="C578" s="93" t="s">
        <v>16</v>
      </c>
      <c r="D578" s="82"/>
      <c r="E578" s="94"/>
      <c r="F578" s="104">
        <f>SUMIF($B$6:$B$551,"=756300",$D$6:$D$551)</f>
        <v>0</v>
      </c>
      <c r="G578" s="146">
        <f>F578/F637</f>
        <v>0</v>
      </c>
    </row>
    <row r="579" spans="1:7" ht="15" customHeight="1" x14ac:dyDescent="0.25">
      <c r="A579" s="58"/>
      <c r="B579" s="84">
        <v>756400</v>
      </c>
      <c r="C579" s="93" t="s">
        <v>17</v>
      </c>
      <c r="D579" s="82"/>
      <c r="E579" s="94"/>
      <c r="F579" s="104">
        <f>SUMIF($B$6:$B$551,"=756400",$D$6:$D$551)</f>
        <v>0</v>
      </c>
      <c r="G579" s="146">
        <f>F579/F637</f>
        <v>0</v>
      </c>
    </row>
    <row r="580" spans="1:7" ht="15" customHeight="1" x14ac:dyDescent="0.25">
      <c r="A580" s="58"/>
      <c r="B580" s="84">
        <v>756800</v>
      </c>
      <c r="C580" s="93" t="s">
        <v>18</v>
      </c>
      <c r="D580" s="82"/>
      <c r="E580" s="94"/>
      <c r="F580" s="104">
        <f>SUMIF($B$6:$B$551,"=756800",$D$6:$D$551)</f>
        <v>39453.75</v>
      </c>
      <c r="G580" s="146">
        <f>F580/F637</f>
        <v>0.85548325656399016</v>
      </c>
    </row>
    <row r="581" spans="1:7" ht="15" customHeight="1" x14ac:dyDescent="0.25">
      <c r="A581" s="58"/>
      <c r="B581" s="84">
        <v>756900</v>
      </c>
      <c r="C581" s="93" t="s">
        <v>155</v>
      </c>
      <c r="D581" s="82"/>
      <c r="E581" s="94"/>
      <c r="F581" s="104">
        <f>SUMIF($B$6:$B$551,"=756900",$D$6:$D$551)</f>
        <v>0</v>
      </c>
      <c r="G581" s="146">
        <f>F581/F637</f>
        <v>0</v>
      </c>
    </row>
    <row r="582" spans="1:7" ht="12.9" customHeight="1" x14ac:dyDescent="0.25">
      <c r="A582" s="58"/>
      <c r="B582" s="84"/>
      <c r="C582" s="93"/>
      <c r="D582" s="82"/>
      <c r="E582" s="94"/>
      <c r="F582" s="105"/>
      <c r="G582" s="146" t="s">
        <v>184</v>
      </c>
    </row>
    <row r="583" spans="1:7" ht="15" customHeight="1" x14ac:dyDescent="0.25">
      <c r="A583" s="58"/>
      <c r="B583" s="84">
        <v>758100</v>
      </c>
      <c r="C583" s="93" t="s">
        <v>19</v>
      </c>
      <c r="D583" s="82"/>
      <c r="E583" s="94"/>
      <c r="F583" s="104">
        <f>SUMIF($B$6:$B$551,"=758100",$D$6:$D$551)</f>
        <v>0</v>
      </c>
      <c r="G583" s="146">
        <f>F583/F637</f>
        <v>0</v>
      </c>
    </row>
    <row r="584" spans="1:7" ht="15" customHeight="1" x14ac:dyDescent="0.25">
      <c r="A584" s="58"/>
      <c r="B584" s="84">
        <v>758200</v>
      </c>
      <c r="C584" s="93" t="s">
        <v>20</v>
      </c>
      <c r="D584" s="82"/>
      <c r="E584" s="94"/>
      <c r="F584" s="104">
        <f>SUMIF($B$6:$B$551,"=758200",$D$6:$D$551)</f>
        <v>55</v>
      </c>
      <c r="G584" s="146">
        <f>F584/F637</f>
        <v>1.192575588151176E-3</v>
      </c>
    </row>
    <row r="585" spans="1:7" ht="15" customHeight="1" x14ac:dyDescent="0.25">
      <c r="A585" s="58"/>
      <c r="B585" s="84">
        <v>758300</v>
      </c>
      <c r="C585" s="93" t="s">
        <v>21</v>
      </c>
      <c r="D585" s="82"/>
      <c r="E585" s="94"/>
      <c r="F585" s="104">
        <f>SUMIF($B$6:$B$551,"=758300",$D$6:$D$551)</f>
        <v>0</v>
      </c>
      <c r="G585" s="146">
        <f>F585/F637</f>
        <v>0</v>
      </c>
    </row>
    <row r="586" spans="1:7" ht="12.9" customHeight="1" x14ac:dyDescent="0.25">
      <c r="A586" s="58"/>
      <c r="B586" s="84"/>
      <c r="C586" s="93"/>
      <c r="D586" s="82"/>
      <c r="E586" s="94"/>
      <c r="F586" s="105"/>
      <c r="G586" s="146" t="s">
        <v>184</v>
      </c>
    </row>
    <row r="587" spans="1:7" ht="15" customHeight="1" x14ac:dyDescent="0.25">
      <c r="A587" s="58"/>
      <c r="B587" s="84">
        <v>706115</v>
      </c>
      <c r="C587" s="93" t="s">
        <v>22</v>
      </c>
      <c r="D587" s="82"/>
      <c r="E587" s="94"/>
      <c r="F587" s="104">
        <f>SUMIF($B$6:$B$551,"=706115",$D$6:$D$551)</f>
        <v>0</v>
      </c>
      <c r="G587" s="146">
        <f>F587/F637</f>
        <v>0</v>
      </c>
    </row>
    <row r="588" spans="1:7" ht="12.9" customHeight="1" x14ac:dyDescent="0.25">
      <c r="A588" s="58"/>
      <c r="B588" s="84"/>
      <c r="C588" s="93"/>
      <c r="D588" s="82"/>
      <c r="E588" s="94"/>
      <c r="F588" s="105"/>
      <c r="G588" s="146" t="s">
        <v>184</v>
      </c>
    </row>
    <row r="589" spans="1:7" ht="15" customHeight="1" x14ac:dyDescent="0.25">
      <c r="A589" s="58"/>
      <c r="B589" s="84">
        <v>706251</v>
      </c>
      <c r="C589" s="93" t="s">
        <v>23</v>
      </c>
      <c r="D589" s="82"/>
      <c r="E589" s="94"/>
      <c r="F589" s="104">
        <f>SUMIF($B$6:$B$551,"=706251",$D$6:$D$551)</f>
        <v>0</v>
      </c>
      <c r="G589" s="146">
        <f>F589/F637</f>
        <v>0</v>
      </c>
    </row>
    <row r="590" spans="1:7" ht="15" customHeight="1" x14ac:dyDescent="0.25">
      <c r="A590" s="58"/>
      <c r="B590" s="84">
        <v>706252</v>
      </c>
      <c r="C590" s="93" t="s">
        <v>24</v>
      </c>
      <c r="D590" s="82"/>
      <c r="E590" s="94"/>
      <c r="F590" s="104">
        <f>SUMIF($B$6:$B$551,"=706252",$D$6:$D$551)</f>
        <v>0</v>
      </c>
      <c r="G590" s="146">
        <f>F590/F637</f>
        <v>0</v>
      </c>
    </row>
    <row r="591" spans="1:7" ht="15" customHeight="1" x14ac:dyDescent="0.25">
      <c r="A591" s="58"/>
      <c r="B591" s="84">
        <v>706254</v>
      </c>
      <c r="C591" s="93" t="s">
        <v>25</v>
      </c>
      <c r="D591" s="82"/>
      <c r="E591" s="94"/>
      <c r="F591" s="104">
        <f>SUMIF($B$6:$B$551,"=706254",$D$6:$D$551)</f>
        <v>0</v>
      </c>
      <c r="G591" s="146">
        <f>F591/F637</f>
        <v>0</v>
      </c>
    </row>
    <row r="592" spans="1:7" ht="12.9" customHeight="1" x14ac:dyDescent="0.25">
      <c r="A592" s="58"/>
      <c r="B592" s="84"/>
      <c r="C592" s="93"/>
      <c r="D592" s="82"/>
      <c r="E592" s="94"/>
      <c r="F592" s="105"/>
      <c r="G592" s="146" t="s">
        <v>184</v>
      </c>
    </row>
    <row r="593" spans="1:7" ht="15" customHeight="1" x14ac:dyDescent="0.25">
      <c r="A593" s="58"/>
      <c r="B593" s="84">
        <v>707110</v>
      </c>
      <c r="C593" s="93" t="s">
        <v>26</v>
      </c>
      <c r="D593" s="82"/>
      <c r="E593" s="94"/>
      <c r="F593" s="104">
        <f>SUMIF($B$6:$B$551,"=707110",$D$6:$D$551)</f>
        <v>0</v>
      </c>
      <c r="G593" s="146">
        <f>F593/F637</f>
        <v>0</v>
      </c>
    </row>
    <row r="594" spans="1:7" ht="15" customHeight="1" x14ac:dyDescent="0.25">
      <c r="A594" s="58"/>
      <c r="B594" s="84">
        <v>707120</v>
      </c>
      <c r="C594" s="93" t="s">
        <v>27</v>
      </c>
      <c r="D594" s="82"/>
      <c r="E594" s="94"/>
      <c r="F594" s="104">
        <f>SUMIF($B$6:$B$551,"=707120",$D$6:$D$551)</f>
        <v>0</v>
      </c>
      <c r="G594" s="146">
        <f>F594/F637</f>
        <v>0</v>
      </c>
    </row>
    <row r="595" spans="1:7" ht="15" customHeight="1" x14ac:dyDescent="0.25">
      <c r="A595" s="58"/>
      <c r="B595" s="84">
        <v>707150</v>
      </c>
      <c r="C595" s="93" t="s">
        <v>28</v>
      </c>
      <c r="D595" s="82"/>
      <c r="E595" s="94"/>
      <c r="F595" s="104">
        <f>SUMIF($B$6:$B$551,"=707150",$D$6:$D$551)</f>
        <v>0</v>
      </c>
      <c r="G595" s="146">
        <f>F595/F637</f>
        <v>0</v>
      </c>
    </row>
    <row r="596" spans="1:7" ht="15" customHeight="1" x14ac:dyDescent="0.25">
      <c r="A596" s="58"/>
      <c r="B596" s="84">
        <v>707160</v>
      </c>
      <c r="C596" s="93" t="s">
        <v>29</v>
      </c>
      <c r="D596" s="82"/>
      <c r="E596" s="94"/>
      <c r="F596" s="104">
        <f>SUMIF($B$6:$B$551,"=707160",$D$6:$D$551)</f>
        <v>0</v>
      </c>
      <c r="G596" s="146">
        <f>F596/F637</f>
        <v>0</v>
      </c>
    </row>
    <row r="597" spans="1:7" ht="12.9" customHeight="1" x14ac:dyDescent="0.25">
      <c r="A597" s="58"/>
      <c r="B597" s="84"/>
      <c r="C597" s="93"/>
      <c r="D597" s="82"/>
      <c r="E597" s="94"/>
      <c r="F597" s="105"/>
      <c r="G597" s="146" t="s">
        <v>184</v>
      </c>
    </row>
    <row r="598" spans="1:7" ht="15" customHeight="1" x14ac:dyDescent="0.25">
      <c r="A598" s="58"/>
      <c r="B598" s="84">
        <v>707210</v>
      </c>
      <c r="C598" s="93" t="s">
        <v>30</v>
      </c>
      <c r="D598" s="82"/>
      <c r="E598" s="94"/>
      <c r="F598" s="104">
        <f>SUMIF($B$6:$B$551,"=707210",$D$6:$D$551)</f>
        <v>0</v>
      </c>
      <c r="G598" s="146">
        <f>F598/F637</f>
        <v>0</v>
      </c>
    </row>
    <row r="599" spans="1:7" ht="15" customHeight="1" x14ac:dyDescent="0.25">
      <c r="A599" s="58"/>
      <c r="B599" s="84">
        <v>707220</v>
      </c>
      <c r="C599" s="93" t="s">
        <v>31</v>
      </c>
      <c r="D599" s="82"/>
      <c r="E599" s="94"/>
      <c r="F599" s="104">
        <f>SUMIF($B$6:$B$551,"=707220",$D$6:$D$551)</f>
        <v>0</v>
      </c>
      <c r="G599" s="146">
        <f>F599/F637</f>
        <v>0</v>
      </c>
    </row>
    <row r="600" spans="1:7" ht="15" customHeight="1" x14ac:dyDescent="0.25">
      <c r="A600" s="58"/>
      <c r="B600" s="84">
        <v>707250</v>
      </c>
      <c r="C600" s="93" t="s">
        <v>32</v>
      </c>
      <c r="D600" s="82"/>
      <c r="E600" s="94"/>
      <c r="F600" s="104">
        <f>SUMIF($B$6:$B$551,"=707250",$D$6:$D$551)</f>
        <v>0</v>
      </c>
      <c r="G600" s="146">
        <f>F600/F637</f>
        <v>0</v>
      </c>
    </row>
    <row r="601" spans="1:7" ht="15" customHeight="1" x14ac:dyDescent="0.25">
      <c r="A601" s="58"/>
      <c r="B601" s="84">
        <v>707260</v>
      </c>
      <c r="C601" s="93" t="s">
        <v>33</v>
      </c>
      <c r="D601" s="82"/>
      <c r="E601" s="94"/>
      <c r="F601" s="104">
        <f>SUMIF($B$6:$B$551,"=707260",$D$6:$D$551)</f>
        <v>0</v>
      </c>
      <c r="G601" s="146">
        <f>F601/F637</f>
        <v>0</v>
      </c>
    </row>
    <row r="602" spans="1:7" ht="12.9" customHeight="1" x14ac:dyDescent="0.25">
      <c r="A602" s="58"/>
      <c r="B602" s="84"/>
      <c r="C602" s="93"/>
      <c r="D602" s="82"/>
      <c r="E602" s="94"/>
      <c r="F602" s="105"/>
      <c r="G602" s="146" t="s">
        <v>184</v>
      </c>
    </row>
    <row r="603" spans="1:7" ht="15" customHeight="1" x14ac:dyDescent="0.25">
      <c r="A603" s="58"/>
      <c r="B603" s="84">
        <v>708100</v>
      </c>
      <c r="C603" s="93" t="s">
        <v>34</v>
      </c>
      <c r="D603" s="82"/>
      <c r="E603" s="94"/>
      <c r="F603" s="104">
        <f>SUMIF($B$6:$B$551,"=708100",$D$6:$D$551)</f>
        <v>0</v>
      </c>
      <c r="G603" s="146">
        <f>F603/F637</f>
        <v>0</v>
      </c>
    </row>
    <row r="604" spans="1:7" ht="15" customHeight="1" x14ac:dyDescent="0.25">
      <c r="A604" s="58"/>
      <c r="B604" s="84">
        <v>708200</v>
      </c>
      <c r="C604" s="93" t="s">
        <v>35</v>
      </c>
      <c r="D604" s="82"/>
      <c r="E604" s="94"/>
      <c r="F604" s="104">
        <f>SUMIF($B$6:$B$551,"=708200",$D$6:$D$551)</f>
        <v>0</v>
      </c>
      <c r="G604" s="146">
        <f>F604/F637</f>
        <v>0</v>
      </c>
    </row>
    <row r="605" spans="1:7" ht="12.9" customHeight="1" x14ac:dyDescent="0.25">
      <c r="A605" s="58"/>
      <c r="B605" s="84"/>
      <c r="C605" s="93"/>
      <c r="D605" s="82"/>
      <c r="E605" s="94"/>
      <c r="F605" s="105"/>
      <c r="G605" s="146" t="s">
        <v>184</v>
      </c>
    </row>
    <row r="606" spans="1:7" ht="15" customHeight="1" x14ac:dyDescent="0.25">
      <c r="A606" s="58"/>
      <c r="B606" s="84">
        <v>708810</v>
      </c>
      <c r="C606" s="93" t="s">
        <v>36</v>
      </c>
      <c r="D606" s="82"/>
      <c r="E606" s="94"/>
      <c r="F606" s="104">
        <f>SUMIF($B$6:$B$551,"=708810",$D$6:$D$551)</f>
        <v>0</v>
      </c>
      <c r="G606" s="146">
        <f>F606/F637</f>
        <v>0</v>
      </c>
    </row>
    <row r="607" spans="1:7" ht="15" customHeight="1" x14ac:dyDescent="0.25">
      <c r="A607" s="58"/>
      <c r="B607" s="84">
        <v>708820</v>
      </c>
      <c r="C607" s="93" t="s">
        <v>37</v>
      </c>
      <c r="D607" s="82"/>
      <c r="E607" s="94"/>
      <c r="F607" s="104">
        <f>SUMIF($B$6:$B$551,"=708820",$D$6:$D$551)</f>
        <v>0</v>
      </c>
      <c r="G607" s="146">
        <f>F607/F637</f>
        <v>0</v>
      </c>
    </row>
    <row r="608" spans="1:7" ht="15" customHeight="1" x14ac:dyDescent="0.25">
      <c r="A608" s="58"/>
      <c r="B608" s="84">
        <v>708830</v>
      </c>
      <c r="C608" s="93" t="s">
        <v>38</v>
      </c>
      <c r="D608" s="82"/>
      <c r="E608" s="94"/>
      <c r="F608" s="104">
        <f>SUMIF($B$6:$B$551,"=708830",$D$6:$D$551)</f>
        <v>0</v>
      </c>
      <c r="G608" s="146">
        <f>F608/F637</f>
        <v>0</v>
      </c>
    </row>
    <row r="609" spans="1:7" ht="15" customHeight="1" x14ac:dyDescent="0.25">
      <c r="A609" s="58"/>
      <c r="B609" s="84">
        <v>708840</v>
      </c>
      <c r="C609" s="93" t="s">
        <v>39</v>
      </c>
      <c r="D609" s="82"/>
      <c r="E609" s="94"/>
      <c r="F609" s="104">
        <f>SUMIF($B$6:$B$551,"=708840",$D$6:$D$551)</f>
        <v>0</v>
      </c>
      <c r="G609" s="146">
        <f>F609/F637</f>
        <v>0</v>
      </c>
    </row>
    <row r="610" spans="1:7" ht="15" customHeight="1" x14ac:dyDescent="0.25">
      <c r="A610" s="58"/>
      <c r="B610" s="84">
        <v>708850</v>
      </c>
      <c r="C610" s="93" t="s">
        <v>40</v>
      </c>
      <c r="D610" s="82"/>
      <c r="E610" s="94"/>
      <c r="F610" s="104">
        <f>SUMIF($B$6:$B$551,"=708850",$D$6:$D$551)</f>
        <v>0</v>
      </c>
      <c r="G610" s="146">
        <f>F610/F637</f>
        <v>0</v>
      </c>
    </row>
    <row r="611" spans="1:7" ht="15" customHeight="1" x14ac:dyDescent="0.25">
      <c r="A611" s="58"/>
      <c r="B611" s="84"/>
      <c r="C611" s="93"/>
      <c r="D611" s="82"/>
      <c r="E611" s="94"/>
      <c r="F611" s="104"/>
      <c r="G611" s="146">
        <f>F611/F637</f>
        <v>0</v>
      </c>
    </row>
    <row r="612" spans="1:7" ht="15" customHeight="1" x14ac:dyDescent="0.25">
      <c r="A612" s="58"/>
      <c r="B612" s="84">
        <v>708860</v>
      </c>
      <c r="C612" s="93" t="s">
        <v>190</v>
      </c>
      <c r="D612" s="82"/>
      <c r="E612" s="94"/>
      <c r="F612" s="104">
        <f>SUMIF($B$6:$B$551,"=708860",$D$6:$D$551)</f>
        <v>0</v>
      </c>
      <c r="G612" s="146">
        <f>F612/F637</f>
        <v>0</v>
      </c>
    </row>
    <row r="613" spans="1:7" ht="15" customHeight="1" x14ac:dyDescent="0.25">
      <c r="A613" s="58"/>
      <c r="B613" s="84">
        <v>708870</v>
      </c>
      <c r="C613" s="93" t="s">
        <v>191</v>
      </c>
      <c r="D613" s="82"/>
      <c r="E613" s="94"/>
      <c r="F613" s="104">
        <f>SUMIF($B$6:$B$551,"=708870",$D$6:$D$551)</f>
        <v>0</v>
      </c>
      <c r="G613" s="146">
        <f>F613/F637</f>
        <v>0</v>
      </c>
    </row>
    <row r="614" spans="1:7" ht="15" customHeight="1" x14ac:dyDescent="0.25">
      <c r="A614" s="58"/>
      <c r="B614" s="84">
        <v>708880</v>
      </c>
      <c r="C614" s="93" t="s">
        <v>192</v>
      </c>
      <c r="D614" s="82"/>
      <c r="E614" s="94"/>
      <c r="F614" s="104">
        <f>SUMIF($B$6:$B$551,"=708880",$D$6:$D$551)</f>
        <v>0</v>
      </c>
      <c r="G614" s="146">
        <f>F614/F637</f>
        <v>0</v>
      </c>
    </row>
    <row r="615" spans="1:7" ht="15" customHeight="1" x14ac:dyDescent="0.25">
      <c r="A615" s="58"/>
      <c r="B615" s="84"/>
      <c r="C615" s="93"/>
      <c r="D615" s="82"/>
      <c r="E615" s="94"/>
      <c r="F615" s="104"/>
      <c r="G615" s="146">
        <f>F615/F637</f>
        <v>0</v>
      </c>
    </row>
    <row r="616" spans="1:7" ht="15" customHeight="1" x14ac:dyDescent="0.25">
      <c r="A616" s="58"/>
      <c r="B616" s="84">
        <v>767000</v>
      </c>
      <c r="C616" s="93" t="s">
        <v>41</v>
      </c>
      <c r="D616" s="82"/>
      <c r="E616" s="94"/>
      <c r="F616" s="104">
        <f>SUMIF($B$6:$B$551,"=767000",$D$6:$D$551)</f>
        <v>0</v>
      </c>
      <c r="G616" s="146">
        <f>F616/F637</f>
        <v>0</v>
      </c>
    </row>
    <row r="617" spans="1:7" ht="15" customHeight="1" x14ac:dyDescent="0.25">
      <c r="A617" s="58"/>
      <c r="B617" s="84">
        <v>768000</v>
      </c>
      <c r="C617" s="93" t="s">
        <v>42</v>
      </c>
      <c r="D617" s="82"/>
      <c r="E617" s="94"/>
      <c r="F617" s="104">
        <f>SUMIF($B$6:$B$551,"=768000",$D$6:$D$551)</f>
        <v>552.04999999999995</v>
      </c>
      <c r="G617" s="146">
        <f>F617/F637</f>
        <v>1.1970206426161029E-2</v>
      </c>
    </row>
    <row r="618" spans="1:7" ht="15" customHeight="1" x14ac:dyDescent="0.25">
      <c r="A618" s="58"/>
      <c r="B618" s="84">
        <v>768010</v>
      </c>
      <c r="C618" s="93" t="s">
        <v>193</v>
      </c>
      <c r="D618" s="82"/>
      <c r="E618" s="94"/>
      <c r="F618" s="104">
        <f>SUMIF($B$6:$B$551,"=768010",$D$6:$D$551)</f>
        <v>940.87</v>
      </c>
      <c r="G618" s="146">
        <f>F618/F637</f>
        <v>2.040106533861449E-2</v>
      </c>
    </row>
    <row r="619" spans="1:7" ht="15" customHeight="1" x14ac:dyDescent="0.25">
      <c r="A619" s="58"/>
      <c r="B619" s="84">
        <v>768020</v>
      </c>
      <c r="C619" s="93" t="s">
        <v>194</v>
      </c>
      <c r="D619" s="82"/>
      <c r="E619" s="94"/>
      <c r="F619" s="104">
        <f>SUMIF($B$6:$B$551,"=768020",$D$6:$D$551)</f>
        <v>117</v>
      </c>
      <c r="G619" s="146">
        <f>F619/F637</f>
        <v>2.5369335238852289E-3</v>
      </c>
    </row>
    <row r="620" spans="1:7" ht="15" customHeight="1" x14ac:dyDescent="0.25">
      <c r="A620" s="58"/>
      <c r="B620" s="84">
        <v>778800</v>
      </c>
      <c r="C620" s="93" t="s">
        <v>195</v>
      </c>
      <c r="D620" s="82"/>
      <c r="E620" s="94"/>
      <c r="F620" s="104">
        <f>SUMIF($B$6:$B$551,"=778800",$D$6:$D$551)</f>
        <v>0</v>
      </c>
      <c r="G620" s="146">
        <f>F620/F637</f>
        <v>0</v>
      </c>
    </row>
    <row r="621" spans="1:7" ht="15" customHeight="1" thickBot="1" x14ac:dyDescent="0.3">
      <c r="A621" s="58"/>
      <c r="B621" s="84"/>
      <c r="C621" s="93"/>
      <c r="D621" s="82"/>
      <c r="E621" s="94"/>
      <c r="F621" s="104"/>
      <c r="G621" s="146" t="s">
        <v>184</v>
      </c>
    </row>
    <row r="622" spans="1:7" ht="15" customHeight="1" thickBot="1" x14ac:dyDescent="0.4">
      <c r="A622" s="58"/>
      <c r="B622" s="28"/>
      <c r="C622" s="79"/>
      <c r="D622" s="366" t="s">
        <v>80</v>
      </c>
      <c r="E622" s="367"/>
      <c r="F622" s="77">
        <f>SUM(F567:F621)</f>
        <v>46118.670000000006</v>
      </c>
      <c r="G622" s="146" t="s">
        <v>184</v>
      </c>
    </row>
    <row r="623" spans="1:7" s="29" customFormat="1" ht="15" customHeight="1" x14ac:dyDescent="0.35">
      <c r="A623" s="58"/>
      <c r="B623" s="28"/>
      <c r="C623" s="79"/>
      <c r="D623" s="126"/>
      <c r="E623" s="126"/>
      <c r="F623" s="127"/>
      <c r="G623" s="146" t="s">
        <v>184</v>
      </c>
    </row>
    <row r="624" spans="1:7" ht="15" customHeight="1" thickBot="1" x14ac:dyDescent="0.3">
      <c r="A624" s="58"/>
      <c r="B624" s="28"/>
      <c r="C624" s="29"/>
      <c r="D624" s="62"/>
      <c r="E624" s="62"/>
      <c r="F624" s="71"/>
      <c r="G624" s="146" t="s">
        <v>184</v>
      </c>
    </row>
    <row r="625" spans="1:7" ht="15" customHeight="1" thickBot="1" x14ac:dyDescent="0.4">
      <c r="A625" s="58"/>
      <c r="B625" s="28"/>
      <c r="C625" s="79"/>
      <c r="D625" s="366" t="s">
        <v>81</v>
      </c>
      <c r="E625" s="367"/>
      <c r="F625" s="77">
        <f>F622</f>
        <v>46118.670000000006</v>
      </c>
      <c r="G625" s="146" t="s">
        <v>184</v>
      </c>
    </row>
    <row r="626" spans="1:7" ht="15" customHeight="1" x14ac:dyDescent="0.25">
      <c r="A626" s="58"/>
      <c r="B626" s="84"/>
      <c r="C626" s="93"/>
      <c r="D626" s="82"/>
      <c r="E626" s="94"/>
      <c r="F626" s="104"/>
      <c r="G626" s="146" t="s">
        <v>184</v>
      </c>
    </row>
    <row r="627" spans="1:7" ht="15" customHeight="1" x14ac:dyDescent="0.25">
      <c r="A627" s="58"/>
      <c r="B627" s="84">
        <v>164000</v>
      </c>
      <c r="C627" s="93" t="s">
        <v>161</v>
      </c>
      <c r="D627" s="82"/>
      <c r="E627" s="94"/>
      <c r="F627" s="104">
        <f>SUMIF($B$6:$B$551,"=164000",$D$6:$D$551)</f>
        <v>0</v>
      </c>
      <c r="G627" s="146">
        <f>F627/F637</f>
        <v>0</v>
      </c>
    </row>
    <row r="628" spans="1:7" ht="15" customHeight="1" x14ac:dyDescent="0.25">
      <c r="A628" s="58"/>
      <c r="B628" s="84"/>
      <c r="C628" s="93"/>
      <c r="D628" s="82"/>
      <c r="E628" s="94"/>
      <c r="F628" s="104"/>
      <c r="G628" s="146" t="s">
        <v>184</v>
      </c>
    </row>
    <row r="629" spans="1:7" ht="15" customHeight="1" x14ac:dyDescent="0.25">
      <c r="A629" s="58"/>
      <c r="B629" s="84">
        <v>157100</v>
      </c>
      <c r="C629" s="93" t="s">
        <v>118</v>
      </c>
      <c r="D629" s="82"/>
      <c r="E629" s="94"/>
      <c r="F629" s="104">
        <f>SUMIF($B$6:$B$551,"=157100",$D$6:$D$551)</f>
        <v>0</v>
      </c>
      <c r="G629" s="146">
        <f>F629/F637</f>
        <v>0</v>
      </c>
    </row>
    <row r="630" spans="1:7" ht="15" customHeight="1" x14ac:dyDescent="0.25">
      <c r="A630" s="58"/>
      <c r="B630" s="84">
        <v>157300</v>
      </c>
      <c r="C630" s="93" t="s">
        <v>119</v>
      </c>
      <c r="D630" s="82"/>
      <c r="E630" s="94"/>
      <c r="F630" s="104">
        <f>SUMIF($B$6:$B$551,"=157300",$D$6:$D$551)</f>
        <v>0</v>
      </c>
      <c r="G630" s="146">
        <f>F630/F637</f>
        <v>0</v>
      </c>
    </row>
    <row r="631" spans="1:7" ht="15" customHeight="1" x14ac:dyDescent="0.25">
      <c r="A631" s="58"/>
      <c r="B631" s="84">
        <v>157400</v>
      </c>
      <c r="C631" s="93" t="s">
        <v>120</v>
      </c>
      <c r="D631" s="82"/>
      <c r="E631" s="82"/>
      <c r="F631" s="104">
        <f>SUMIF($B$6:$B$551,"=157400",$D$6:$D$551)</f>
        <v>0</v>
      </c>
      <c r="G631" s="146">
        <f>F631/F637</f>
        <v>0</v>
      </c>
    </row>
    <row r="632" spans="1:7" ht="15" customHeight="1" x14ac:dyDescent="0.25">
      <c r="A632" s="58"/>
      <c r="B632" s="84">
        <v>157500</v>
      </c>
      <c r="C632" s="93" t="s">
        <v>210</v>
      </c>
      <c r="D632" s="82"/>
      <c r="E632" s="82"/>
      <c r="F632" s="104">
        <f>SUMIF($B$6:$B$551,"=157500",$D$6:$D$551)</f>
        <v>0</v>
      </c>
      <c r="G632" s="146">
        <f>F632/F637</f>
        <v>0</v>
      </c>
    </row>
    <row r="633" spans="1:7" ht="15" customHeight="1" x14ac:dyDescent="0.25">
      <c r="A633" s="58"/>
      <c r="B633" s="84">
        <v>157600</v>
      </c>
      <c r="C633" s="93" t="s">
        <v>197</v>
      </c>
      <c r="D633" s="82"/>
      <c r="E633" s="82"/>
      <c r="F633" s="104">
        <f>SUMIF($B$6:$B$551,"=157600",$D$6:$D$551)</f>
        <v>0</v>
      </c>
      <c r="G633" s="146">
        <f>F633/F637</f>
        <v>0</v>
      </c>
    </row>
    <row r="634" spans="1:7" ht="12" customHeight="1" x14ac:dyDescent="0.25">
      <c r="A634" s="58"/>
      <c r="B634" s="28"/>
      <c r="C634" s="29"/>
      <c r="D634" s="62"/>
      <c r="E634" s="62"/>
      <c r="F634" s="63"/>
      <c r="G634" s="146" t="s">
        <v>184</v>
      </c>
    </row>
    <row r="635" spans="1:7" ht="15" customHeight="1" x14ac:dyDescent="0.25">
      <c r="A635" s="58"/>
      <c r="B635" s="95">
        <v>641200</v>
      </c>
      <c r="C635" s="162" t="s">
        <v>185</v>
      </c>
      <c r="D635" s="161"/>
      <c r="E635" s="161"/>
      <c r="F635" s="163">
        <f>SUMIF($B$6:$B$551,"=641200",$D$6:$D$551)</f>
        <v>0</v>
      </c>
      <c r="G635" s="146">
        <f>F635/F637</f>
        <v>0</v>
      </c>
    </row>
    <row r="636" spans="1:7" ht="12" customHeight="1" thickBot="1" x14ac:dyDescent="0.3">
      <c r="A636" s="58"/>
      <c r="B636" s="28"/>
      <c r="C636" s="29"/>
      <c r="D636" s="62"/>
      <c r="E636" s="62"/>
      <c r="F636" s="63"/>
      <c r="G636" s="146"/>
    </row>
    <row r="637" spans="1:7" ht="20.149999999999999" customHeight="1" thickBot="1" x14ac:dyDescent="0.35">
      <c r="A637" s="58"/>
      <c r="B637" s="28"/>
      <c r="C637" s="60"/>
      <c r="D637" s="364" t="s">
        <v>1</v>
      </c>
      <c r="E637" s="365"/>
      <c r="F637" s="107">
        <f>SUM(F625:F635)</f>
        <v>46118.670000000006</v>
      </c>
      <c r="G637" s="147">
        <f>SUM(G567:G635)</f>
        <v>0.99999999999999989</v>
      </c>
    </row>
    <row r="638" spans="1:7" ht="12" customHeight="1" thickBot="1" x14ac:dyDescent="0.35">
      <c r="A638" s="59"/>
      <c r="B638" s="52"/>
      <c r="C638" s="61"/>
      <c r="D638" s="56"/>
      <c r="E638" s="56"/>
      <c r="F638" s="64"/>
      <c r="G638" s="146" t="s">
        <v>184</v>
      </c>
    </row>
    <row r="639" spans="1:7" ht="12" customHeight="1" x14ac:dyDescent="0.3">
      <c r="A639" s="20"/>
      <c r="B639" s="20"/>
      <c r="C639" s="23"/>
      <c r="D639" s="21"/>
      <c r="E639" s="21"/>
      <c r="F639" s="24"/>
      <c r="G639" s="146" t="s">
        <v>184</v>
      </c>
    </row>
    <row r="640" spans="1:7" ht="12" customHeight="1" thickBot="1" x14ac:dyDescent="0.35">
      <c r="A640" s="17"/>
      <c r="B640" s="17"/>
      <c r="C640" s="25"/>
      <c r="D640" s="26"/>
      <c r="E640" s="26"/>
      <c r="F640" s="27"/>
      <c r="G640" s="146" t="s">
        <v>184</v>
      </c>
    </row>
    <row r="641" spans="1:7" ht="12" customHeight="1" x14ac:dyDescent="0.25">
      <c r="A641" s="375" t="s">
        <v>3</v>
      </c>
      <c r="B641" s="376"/>
      <c r="C641" s="376"/>
      <c r="D641" s="376"/>
      <c r="E641" s="376"/>
      <c r="F641" s="377"/>
      <c r="G641" s="146" t="s">
        <v>213</v>
      </c>
    </row>
    <row r="642" spans="1:7" ht="12" customHeight="1" x14ac:dyDescent="0.25">
      <c r="A642" s="372"/>
      <c r="B642" s="373"/>
      <c r="C642" s="373"/>
      <c r="D642" s="373"/>
      <c r="E642" s="373"/>
      <c r="F642" s="374"/>
      <c r="G642" s="146" t="s">
        <v>213</v>
      </c>
    </row>
    <row r="643" spans="1:7" ht="12" customHeight="1" x14ac:dyDescent="0.3">
      <c r="A643" s="68"/>
      <c r="B643" s="28"/>
      <c r="C643" s="29"/>
      <c r="D643" s="62"/>
      <c r="E643" s="62"/>
      <c r="F643" s="67"/>
      <c r="G643" s="146" t="s">
        <v>186</v>
      </c>
    </row>
    <row r="644" spans="1:7" ht="15" customHeight="1" x14ac:dyDescent="0.3">
      <c r="A644" s="68"/>
      <c r="B644" s="80">
        <v>628100</v>
      </c>
      <c r="C644" s="81" t="s">
        <v>105</v>
      </c>
      <c r="D644" s="100"/>
      <c r="E644" s="100"/>
      <c r="F644" s="39">
        <f>SUMIF($B$6:$B$551,"=628100",$E$6:$BZ$551)</f>
        <v>80</v>
      </c>
      <c r="G644" s="146">
        <f>F644/$F$768</f>
        <v>1.7539071021179526E-3</v>
      </c>
    </row>
    <row r="645" spans="1:7" ht="15" customHeight="1" x14ac:dyDescent="0.3">
      <c r="A645" s="68"/>
      <c r="B645" s="84">
        <v>628200</v>
      </c>
      <c r="C645" s="85" t="s">
        <v>106</v>
      </c>
      <c r="D645" s="82"/>
      <c r="E645" s="82"/>
      <c r="F645" s="104">
        <f>SUMIF($B$6:$B$551,"=628200",$E$6:$BZ$551)</f>
        <v>0</v>
      </c>
      <c r="G645" s="146">
        <f>F645/$F$768</f>
        <v>0</v>
      </c>
    </row>
    <row r="646" spans="1:7" ht="12.9" customHeight="1" x14ac:dyDescent="0.3">
      <c r="A646" s="68"/>
      <c r="B646" s="84"/>
      <c r="C646" s="85"/>
      <c r="D646" s="82"/>
      <c r="E646" s="82"/>
      <c r="F646" s="159"/>
      <c r="G646" s="146" t="s">
        <v>184</v>
      </c>
    </row>
    <row r="647" spans="1:7" ht="15" customHeight="1" x14ac:dyDescent="0.25">
      <c r="A647" s="58"/>
      <c r="B647" s="84">
        <v>652100</v>
      </c>
      <c r="C647" s="85" t="s">
        <v>43</v>
      </c>
      <c r="D647" s="82"/>
      <c r="E647" s="82"/>
      <c r="F647" s="104">
        <f>SUMIF($B$6:$B$551,"=652100",$E$6:$BZ$551)</f>
        <v>9269</v>
      </c>
      <c r="G647" s="146">
        <f t="shared" ref="G647:G653" si="9">F647/$F$768</f>
        <v>0.20321206161914127</v>
      </c>
    </row>
    <row r="648" spans="1:7" ht="15" customHeight="1" x14ac:dyDescent="0.25">
      <c r="A648" s="58"/>
      <c r="B648" s="84">
        <v>652105</v>
      </c>
      <c r="C648" s="85" t="s">
        <v>152</v>
      </c>
      <c r="D648" s="82"/>
      <c r="E648" s="82"/>
      <c r="F648" s="104">
        <f>SUMIF($B$6:$B$551,"=652105",$E$6:$BZ$551)</f>
        <v>0</v>
      </c>
      <c r="G648" s="146">
        <f t="shared" si="9"/>
        <v>0</v>
      </c>
    </row>
    <row r="649" spans="1:7" ht="15" customHeight="1" x14ac:dyDescent="0.25">
      <c r="A649" s="58"/>
      <c r="B649" s="84">
        <v>652110</v>
      </c>
      <c r="C649" s="85" t="s">
        <v>44</v>
      </c>
      <c r="D649" s="82"/>
      <c r="E649" s="82"/>
      <c r="F649" s="104">
        <f>SUMIF($B$6:$B$551,"=652110",$E$6:$BZ$551)</f>
        <v>0</v>
      </c>
      <c r="G649" s="146">
        <f t="shared" si="9"/>
        <v>0</v>
      </c>
    </row>
    <row r="650" spans="1:7" ht="15" customHeight="1" x14ac:dyDescent="0.25">
      <c r="A650" s="58"/>
      <c r="B650" s="84">
        <v>652211</v>
      </c>
      <c r="C650" s="85" t="s">
        <v>45</v>
      </c>
      <c r="D650" s="82"/>
      <c r="E650" s="82"/>
      <c r="F650" s="104">
        <f>SUMIF($B$6:$B$551,"=652211",$E$6:$BZ$551)</f>
        <v>0</v>
      </c>
      <c r="G650" s="146">
        <f t="shared" si="9"/>
        <v>0</v>
      </c>
    </row>
    <row r="651" spans="1:7" ht="15" customHeight="1" x14ac:dyDescent="0.25">
      <c r="A651" s="58"/>
      <c r="B651" s="84">
        <v>652212</v>
      </c>
      <c r="C651" s="85" t="s">
        <v>46</v>
      </c>
      <c r="D651" s="82"/>
      <c r="E651" s="82"/>
      <c r="F651" s="104">
        <f>SUMIF($B$6:$B$551,"=652212",$E$6:$BZ$551)</f>
        <v>0</v>
      </c>
      <c r="G651" s="146">
        <f t="shared" si="9"/>
        <v>0</v>
      </c>
    </row>
    <row r="652" spans="1:7" ht="15" customHeight="1" x14ac:dyDescent="0.25">
      <c r="A652" s="58"/>
      <c r="B652" s="84">
        <v>652221</v>
      </c>
      <c r="C652" s="85" t="s">
        <v>47</v>
      </c>
      <c r="D652" s="82"/>
      <c r="E652" s="82"/>
      <c r="F652" s="104">
        <f>SUMIF($B$6:$B$551,"=652221",$E$6:$BZ$551)</f>
        <v>0</v>
      </c>
      <c r="G652" s="146">
        <f t="shared" si="9"/>
        <v>0</v>
      </c>
    </row>
    <row r="653" spans="1:7" ht="15" customHeight="1" x14ac:dyDescent="0.25">
      <c r="A653" s="58"/>
      <c r="B653" s="84">
        <v>652222</v>
      </c>
      <c r="C653" s="85" t="s">
        <v>48</v>
      </c>
      <c r="D653" s="82"/>
      <c r="E653" s="82"/>
      <c r="F653" s="104">
        <f>SUMIF($B$6:$B$551,"=652222",$E$6:$BZ$551)</f>
        <v>0</v>
      </c>
      <c r="G653" s="146">
        <f t="shared" si="9"/>
        <v>0</v>
      </c>
    </row>
    <row r="654" spans="1:7" ht="12.9" customHeight="1" x14ac:dyDescent="0.25">
      <c r="A654" s="58"/>
      <c r="B654" s="84"/>
      <c r="C654" s="85"/>
      <c r="D654" s="82"/>
      <c r="E654" s="82"/>
      <c r="F654" s="105"/>
      <c r="G654" s="146" t="s">
        <v>184</v>
      </c>
    </row>
    <row r="655" spans="1:7" ht="15" customHeight="1" x14ac:dyDescent="0.25">
      <c r="A655" s="58"/>
      <c r="B655" s="84">
        <v>658000</v>
      </c>
      <c r="C655" s="85" t="s">
        <v>49</v>
      </c>
      <c r="D655" s="82"/>
      <c r="E655" s="82"/>
      <c r="F655" s="104">
        <f>SUMIF($B$6:$B$551,"=658000",$E$6:$BZ$551)</f>
        <v>0</v>
      </c>
      <c r="G655" s="146">
        <f>F655/$F$768</f>
        <v>0</v>
      </c>
    </row>
    <row r="656" spans="1:7" ht="12.9" customHeight="1" x14ac:dyDescent="0.25">
      <c r="A656" s="58"/>
      <c r="B656" s="84"/>
      <c r="C656" s="85"/>
      <c r="D656" s="82"/>
      <c r="E656" s="82"/>
      <c r="F656" s="105"/>
      <c r="G656" s="146" t="s">
        <v>184</v>
      </c>
    </row>
    <row r="657" spans="1:7" ht="15" customHeight="1" x14ac:dyDescent="0.25">
      <c r="A657" s="58"/>
      <c r="B657" s="84">
        <v>659100</v>
      </c>
      <c r="C657" s="85" t="s">
        <v>50</v>
      </c>
      <c r="D657" s="82"/>
      <c r="E657" s="82"/>
      <c r="F657" s="104">
        <f>SUMIF($B$6:$B$551,"=659100",$E$6:$BZ$551)</f>
        <v>0</v>
      </c>
      <c r="G657" s="146">
        <f>F657/$F$768</f>
        <v>0</v>
      </c>
    </row>
    <row r="658" spans="1:7" ht="15" customHeight="1" x14ac:dyDescent="0.25">
      <c r="A658" s="58"/>
      <c r="B658" s="84">
        <v>659200</v>
      </c>
      <c r="C658" s="85" t="s">
        <v>51</v>
      </c>
      <c r="D658" s="82"/>
      <c r="E658" s="82"/>
      <c r="F658" s="104">
        <f>SUMIF($B$6:$B$551,"=659200",$E$6:$BZ$551)</f>
        <v>0</v>
      </c>
      <c r="G658" s="146">
        <f>F658/$F$768</f>
        <v>0</v>
      </c>
    </row>
    <row r="659" spans="1:7" ht="15" customHeight="1" x14ac:dyDescent="0.25">
      <c r="A659" s="58"/>
      <c r="B659" s="84">
        <v>659300</v>
      </c>
      <c r="C659" s="85" t="s">
        <v>52</v>
      </c>
      <c r="D659" s="82"/>
      <c r="E659" s="82"/>
      <c r="F659" s="104">
        <f>SUMIF($B$6:$B$551,"=659300",$E$6:$BZ$551)</f>
        <v>0</v>
      </c>
      <c r="G659" s="146">
        <f>F659/$F$768</f>
        <v>0</v>
      </c>
    </row>
    <row r="660" spans="1:7" ht="15" customHeight="1" x14ac:dyDescent="0.25">
      <c r="A660" s="58"/>
      <c r="B660" s="84">
        <v>659400</v>
      </c>
      <c r="C660" s="85" t="s">
        <v>53</v>
      </c>
      <c r="D660" s="82"/>
      <c r="E660" s="82"/>
      <c r="F660" s="104">
        <f>SUMIF($B$6:$B$551,"=659400",$E$6:$BZ$551)</f>
        <v>0</v>
      </c>
      <c r="G660" s="146">
        <f>F660/$F$768</f>
        <v>0</v>
      </c>
    </row>
    <row r="661" spans="1:7" ht="12.9" customHeight="1" x14ac:dyDescent="0.25">
      <c r="A661" s="58"/>
      <c r="B661" s="84"/>
      <c r="C661" s="85"/>
      <c r="D661" s="82"/>
      <c r="E661" s="82"/>
      <c r="F661" s="105"/>
      <c r="G661" s="146" t="s">
        <v>184</v>
      </c>
    </row>
    <row r="662" spans="1:7" ht="15" customHeight="1" x14ac:dyDescent="0.25">
      <c r="A662" s="58"/>
      <c r="B662" s="84">
        <v>641100</v>
      </c>
      <c r="C662" s="85" t="s">
        <v>54</v>
      </c>
      <c r="D662" s="82"/>
      <c r="E662" s="82"/>
      <c r="F662" s="104">
        <f>SUMIF($B$6:$B$551,"=641100",$E$6:$BZ$551)</f>
        <v>0</v>
      </c>
      <c r="G662" s="146">
        <f>F662/$F$768</f>
        <v>0</v>
      </c>
    </row>
    <row r="663" spans="1:7" ht="15" customHeight="1" x14ac:dyDescent="0.25">
      <c r="A663" s="58"/>
      <c r="B663" s="84">
        <v>641200</v>
      </c>
      <c r="C663" s="85" t="s">
        <v>55</v>
      </c>
      <c r="D663" s="82"/>
      <c r="E663" s="82"/>
      <c r="F663" s="104">
        <f>SUMIF($B$6:$B$551,"=641200",$E$6:$BZ$551)</f>
        <v>20228.469999999994</v>
      </c>
      <c r="G663" s="146">
        <f>F663/$F$768</f>
        <v>0.44348571497474909</v>
      </c>
    </row>
    <row r="664" spans="1:7" ht="15" customHeight="1" x14ac:dyDescent="0.25">
      <c r="A664" s="58"/>
      <c r="B664" s="84">
        <v>641300</v>
      </c>
      <c r="C664" s="85" t="s">
        <v>56</v>
      </c>
      <c r="D664" s="82"/>
      <c r="E664" s="82"/>
      <c r="F664" s="104">
        <f>SUMIF($B$6:$B$551,"=641300",$E$6:$BZ$551)</f>
        <v>0</v>
      </c>
      <c r="G664" s="146">
        <f>F664/$F$768</f>
        <v>0</v>
      </c>
    </row>
    <row r="665" spans="1:7" ht="12.9" customHeight="1" x14ac:dyDescent="0.25">
      <c r="A665" s="58"/>
      <c r="B665" s="84"/>
      <c r="C665" s="85"/>
      <c r="D665" s="82"/>
      <c r="E665" s="82"/>
      <c r="F665" s="105"/>
      <c r="G665" s="146" t="s">
        <v>184</v>
      </c>
    </row>
    <row r="666" spans="1:7" ht="15" customHeight="1" x14ac:dyDescent="0.25">
      <c r="A666" s="58"/>
      <c r="B666" s="84">
        <v>645100</v>
      </c>
      <c r="C666" s="85" t="s">
        <v>57</v>
      </c>
      <c r="D666" s="82"/>
      <c r="E666" s="82"/>
      <c r="F666" s="104">
        <f>SUMIF($B$6:$B$551,"=645100",$E$6:$BZ$551)</f>
        <v>0</v>
      </c>
      <c r="G666" s="146">
        <f>F666/$F$768</f>
        <v>0</v>
      </c>
    </row>
    <row r="667" spans="1:7" ht="15" customHeight="1" x14ac:dyDescent="0.25">
      <c r="A667" s="58"/>
      <c r="B667" s="84">
        <v>645300</v>
      </c>
      <c r="C667" s="85" t="s">
        <v>58</v>
      </c>
      <c r="D667" s="82"/>
      <c r="E667" s="82"/>
      <c r="F667" s="104">
        <f>SUMIF($B$6:$B$551,"=645300",$E$6:$BZ$551)</f>
        <v>0</v>
      </c>
      <c r="G667" s="146">
        <f>F667/$F$768</f>
        <v>0</v>
      </c>
    </row>
    <row r="668" spans="1:7" ht="15" customHeight="1" x14ac:dyDescent="0.25">
      <c r="A668" s="58"/>
      <c r="B668" s="84">
        <v>645400</v>
      </c>
      <c r="C668" s="85" t="s">
        <v>59</v>
      </c>
      <c r="D668" s="82"/>
      <c r="E668" s="82"/>
      <c r="F668" s="104">
        <f>SUMIF($B$6:$B$551,"=645400",$E$6:$BZ$551)</f>
        <v>0</v>
      </c>
      <c r="G668" s="146">
        <f>F668/$F$768</f>
        <v>0</v>
      </c>
    </row>
    <row r="669" spans="1:7" ht="15" customHeight="1" x14ac:dyDescent="0.25">
      <c r="A669" s="58"/>
      <c r="B669" s="84">
        <v>645500</v>
      </c>
      <c r="C669" s="85" t="s">
        <v>172</v>
      </c>
      <c r="D669" s="82"/>
      <c r="E669" s="82"/>
      <c r="F669" s="104">
        <f>SUMIF($B$6:$B$551,"=645500",$E$6:$BZ$551)</f>
        <v>0</v>
      </c>
      <c r="G669" s="146">
        <f>F669/$F$768</f>
        <v>0</v>
      </c>
    </row>
    <row r="670" spans="1:7" ht="15" customHeight="1" x14ac:dyDescent="0.25">
      <c r="A670" s="58"/>
      <c r="B670" s="84">
        <v>645600</v>
      </c>
      <c r="C670" s="85" t="s">
        <v>199</v>
      </c>
      <c r="D670" s="82"/>
      <c r="E670" s="82"/>
      <c r="F670" s="104">
        <f>SUMIF($B$6:$B$551,"=647500",$E$6:$BZ$551)</f>
        <v>141</v>
      </c>
      <c r="G670" s="146">
        <f>F670/$F$768</f>
        <v>3.0912612674828914E-3</v>
      </c>
    </row>
    <row r="671" spans="1:7" ht="12.9" customHeight="1" x14ac:dyDescent="0.25">
      <c r="A671" s="58"/>
      <c r="B671" s="84"/>
      <c r="C671" s="85"/>
      <c r="D671" s="82"/>
      <c r="E671" s="82"/>
      <c r="F671" s="104"/>
      <c r="G671" s="146" t="s">
        <v>184</v>
      </c>
    </row>
    <row r="672" spans="1:7" ht="12.9" customHeight="1" x14ac:dyDescent="0.25">
      <c r="A672" s="58"/>
      <c r="B672" s="84">
        <v>645700</v>
      </c>
      <c r="C672" s="85" t="s">
        <v>200</v>
      </c>
      <c r="D672" s="82"/>
      <c r="E672" s="82"/>
      <c r="F672" s="104">
        <f>SUMIF($B$6:$B$551,"=645700",$E$6:$BZ$551)</f>
        <v>650.75</v>
      </c>
      <c r="G672" s="146">
        <f>F672/$F$768</f>
        <v>1.4266938083790721E-2</v>
      </c>
    </row>
    <row r="673" spans="1:7" ht="12.9" customHeight="1" x14ac:dyDescent="0.25">
      <c r="A673" s="58"/>
      <c r="B673" s="84">
        <v>645800</v>
      </c>
      <c r="C673" s="85" t="s">
        <v>201</v>
      </c>
      <c r="D673" s="82"/>
      <c r="E673" s="82"/>
      <c r="F673" s="104">
        <f>SUMIF($B$6:$B$551,"=645800",$E$6:$BZ$551)</f>
        <v>7844.1800000000012</v>
      </c>
      <c r="G673" s="146">
        <f>F673/$F$768</f>
        <v>0.17197453765364504</v>
      </c>
    </row>
    <row r="674" spans="1:7" ht="12.9" customHeight="1" x14ac:dyDescent="0.25">
      <c r="A674" s="58"/>
      <c r="B674" s="84"/>
      <c r="C674" s="85"/>
      <c r="D674" s="82"/>
      <c r="E674" s="82"/>
      <c r="F674" s="104"/>
      <c r="G674" s="146" t="s">
        <v>184</v>
      </c>
    </row>
    <row r="675" spans="1:7" ht="12.9" customHeight="1" x14ac:dyDescent="0.25">
      <c r="A675" s="58"/>
      <c r="B675" s="84">
        <v>647500</v>
      </c>
      <c r="C675" s="85" t="s">
        <v>60</v>
      </c>
      <c r="D675" s="82"/>
      <c r="E675" s="82"/>
      <c r="F675" s="104">
        <f>SUMIF($B$6:$B$551,"=647500",$E$6:$BZ$551)</f>
        <v>141</v>
      </c>
      <c r="G675" s="146">
        <f>F675/$F$768</f>
        <v>3.0912612674828914E-3</v>
      </c>
    </row>
    <row r="676" spans="1:7" ht="12.9" customHeight="1" x14ac:dyDescent="0.25">
      <c r="A676" s="58"/>
      <c r="B676" s="84"/>
      <c r="C676" s="85"/>
      <c r="D676" s="82"/>
      <c r="E676" s="82"/>
      <c r="F676" s="104"/>
      <c r="G676" s="146" t="s">
        <v>184</v>
      </c>
    </row>
    <row r="677" spans="1:7" ht="12.9" customHeight="1" x14ac:dyDescent="0.25">
      <c r="A677" s="58"/>
      <c r="B677" s="84">
        <v>668010</v>
      </c>
      <c r="C677" s="85" t="s">
        <v>202</v>
      </c>
      <c r="D677" s="82"/>
      <c r="E677" s="82"/>
      <c r="F677" s="104">
        <f>SUMIF($B$6:$B$551,"=668010",$E$6:$BZ$551)</f>
        <v>0</v>
      </c>
      <c r="G677" s="146">
        <f t="shared" ref="G677:G678" si="10">F677/$F$768</f>
        <v>0</v>
      </c>
    </row>
    <row r="678" spans="1:7" ht="12.9" customHeight="1" x14ac:dyDescent="0.25">
      <c r="A678" s="58"/>
      <c r="B678" s="84">
        <v>668020</v>
      </c>
      <c r="C678" s="85" t="s">
        <v>203</v>
      </c>
      <c r="D678" s="82"/>
      <c r="E678" s="82"/>
      <c r="F678" s="104">
        <f>SUMIF($B$6:$B$551,"=668020",$E$6:$BZ$551)</f>
        <v>0</v>
      </c>
      <c r="G678" s="146">
        <f t="shared" si="10"/>
        <v>0</v>
      </c>
    </row>
    <row r="679" spans="1:7" ht="12.9" customHeight="1" x14ac:dyDescent="0.25">
      <c r="A679" s="58"/>
      <c r="B679" s="84"/>
      <c r="C679" s="85"/>
      <c r="D679" s="82"/>
      <c r="E679" s="82"/>
      <c r="F679" s="104"/>
      <c r="G679" s="146" t="s">
        <v>184</v>
      </c>
    </row>
    <row r="680" spans="1:7" ht="15" customHeight="1" x14ac:dyDescent="0.25">
      <c r="A680" s="58"/>
      <c r="B680" s="84">
        <v>631100</v>
      </c>
      <c r="C680" s="85" t="s">
        <v>107</v>
      </c>
      <c r="D680" s="82"/>
      <c r="E680" s="82"/>
      <c r="F680" s="104">
        <f>SUMIF($B$6:$B$551,"=631100",$E$6:$BZ$551)</f>
        <v>0</v>
      </c>
      <c r="G680" s="146">
        <f>F680/$F$768</f>
        <v>0</v>
      </c>
    </row>
    <row r="681" spans="1:7" ht="15" customHeight="1" x14ac:dyDescent="0.25">
      <c r="A681" s="58"/>
      <c r="B681" s="84">
        <v>633200</v>
      </c>
      <c r="C681" s="85" t="s">
        <v>108</v>
      </c>
      <c r="D681" s="82"/>
      <c r="E681" s="82"/>
      <c r="F681" s="104">
        <f>SUMIF($B$6:$B$551,"=633200",$E$6:$BZ$551)</f>
        <v>0</v>
      </c>
      <c r="G681" s="146">
        <f>F681/$F$768</f>
        <v>0</v>
      </c>
    </row>
    <row r="682" spans="1:7" ht="15" customHeight="1" x14ac:dyDescent="0.25">
      <c r="A682" s="58"/>
      <c r="B682" s="84">
        <v>633300</v>
      </c>
      <c r="C682" s="85" t="s">
        <v>109</v>
      </c>
      <c r="D682" s="82"/>
      <c r="E682" s="82"/>
      <c r="F682" s="104">
        <f>SUMIF($B$6:$B$551,"=633300",$E$6:$BZ$551)</f>
        <v>0</v>
      </c>
      <c r="G682" s="146">
        <f>F682/$F$768</f>
        <v>0</v>
      </c>
    </row>
    <row r="683" spans="1:7" ht="15" customHeight="1" x14ac:dyDescent="0.25">
      <c r="A683" s="58"/>
      <c r="B683" s="84">
        <v>633400</v>
      </c>
      <c r="C683" s="85" t="s">
        <v>110</v>
      </c>
      <c r="D683" s="82"/>
      <c r="E683" s="82"/>
      <c r="F683" s="104">
        <f>SUMIF($B$6:$B$551,"=633400",$E$6:$BZ$551)</f>
        <v>0</v>
      </c>
      <c r="G683" s="146">
        <f>F683/$F$768</f>
        <v>0</v>
      </c>
    </row>
    <row r="684" spans="1:7" ht="12.9" customHeight="1" x14ac:dyDescent="0.25">
      <c r="A684" s="58"/>
      <c r="B684" s="84"/>
      <c r="C684" s="85"/>
      <c r="D684" s="82"/>
      <c r="E684" s="82"/>
      <c r="F684" s="105"/>
      <c r="G684" s="146" t="s">
        <v>184</v>
      </c>
    </row>
    <row r="685" spans="1:7" ht="15" customHeight="1" x14ac:dyDescent="0.25">
      <c r="A685" s="58"/>
      <c r="B685" s="84">
        <v>605100</v>
      </c>
      <c r="C685" s="85" t="s">
        <v>61</v>
      </c>
      <c r="D685" s="82"/>
      <c r="E685" s="82"/>
      <c r="F685" s="104">
        <f>SUMIF($B$6:$B$551,"=605100",$E$6:$BZ$551)</f>
        <v>1931.3100000000002</v>
      </c>
      <c r="G685" s="146">
        <f>F685/$F$768</f>
        <v>4.2341729067392787E-2</v>
      </c>
    </row>
    <row r="686" spans="1:7" ht="15" customHeight="1" x14ac:dyDescent="0.25">
      <c r="A686" s="58"/>
      <c r="B686" s="84">
        <v>605200</v>
      </c>
      <c r="C686" s="85" t="s">
        <v>62</v>
      </c>
      <c r="D686" s="82"/>
      <c r="E686" s="82"/>
      <c r="F686" s="104">
        <f>SUMIF($B$6:$B$551,"=605200",$E$6:$BZ$551)</f>
        <v>0</v>
      </c>
      <c r="G686" s="146">
        <f>F686/$F$768</f>
        <v>0</v>
      </c>
    </row>
    <row r="687" spans="1:7" ht="15" customHeight="1" x14ac:dyDescent="0.25">
      <c r="A687" s="58"/>
      <c r="B687" s="84">
        <v>605210</v>
      </c>
      <c r="C687" s="85" t="s">
        <v>153</v>
      </c>
      <c r="D687" s="82"/>
      <c r="E687" s="82"/>
      <c r="F687" s="104">
        <f>SUMIF($B$6:$B$551,"=605210",$E$6:$BZ$551)</f>
        <v>0</v>
      </c>
      <c r="G687" s="146">
        <f>F687/$F$768</f>
        <v>0</v>
      </c>
    </row>
    <row r="688" spans="1:7" ht="15" customHeight="1" x14ac:dyDescent="0.25">
      <c r="A688" s="58"/>
      <c r="B688" s="84">
        <v>605220</v>
      </c>
      <c r="C688" s="85" t="s">
        <v>154</v>
      </c>
      <c r="D688" s="82"/>
      <c r="E688" s="82"/>
      <c r="F688" s="104">
        <f>SUMIF($B$6:$B$551,"=605220",$E$6:$BZ$551)</f>
        <v>0</v>
      </c>
      <c r="G688" s="146">
        <f>F688/$F$768</f>
        <v>0</v>
      </c>
    </row>
    <row r="689" spans="1:7" ht="15" customHeight="1" x14ac:dyDescent="0.25">
      <c r="A689" s="58"/>
      <c r="B689" s="84">
        <v>605400</v>
      </c>
      <c r="C689" s="85" t="s">
        <v>63</v>
      </c>
      <c r="D689" s="82"/>
      <c r="E689" s="82"/>
      <c r="F689" s="104">
        <f>SUMIF($B$6:$B$551,"=605400",$E$6:$BZ$551)</f>
        <v>0</v>
      </c>
      <c r="G689" s="146">
        <f>F689/$F$768</f>
        <v>0</v>
      </c>
    </row>
    <row r="690" spans="1:7" ht="12.9" customHeight="1" x14ac:dyDescent="0.25">
      <c r="A690" s="58"/>
      <c r="B690" s="84"/>
      <c r="C690" s="85"/>
      <c r="D690" s="82"/>
      <c r="E690" s="82"/>
      <c r="F690" s="105"/>
      <c r="G690" s="146" t="s">
        <v>184</v>
      </c>
    </row>
    <row r="691" spans="1:7" ht="15" customHeight="1" x14ac:dyDescent="0.25">
      <c r="A691" s="58"/>
      <c r="B691" s="84">
        <v>606200</v>
      </c>
      <c r="C691" s="85" t="s">
        <v>170</v>
      </c>
      <c r="D691" s="82"/>
      <c r="E691" s="82"/>
      <c r="F691" s="104">
        <f>SUMIF($B$6:$B$551,"=606200",$E$6:$BZ$551)</f>
        <v>0</v>
      </c>
      <c r="G691" s="146">
        <f>F691/$F$768</f>
        <v>0</v>
      </c>
    </row>
    <row r="692" spans="1:7" ht="15" customHeight="1" x14ac:dyDescent="0.25">
      <c r="A692" s="58"/>
      <c r="B692" s="84">
        <v>606300</v>
      </c>
      <c r="C692" s="85" t="s">
        <v>65</v>
      </c>
      <c r="D692" s="82"/>
      <c r="E692" s="82"/>
      <c r="F692" s="104">
        <f>SUMIF($B$6:$B$551,"=606300",$E$6:$BZ$551)</f>
        <v>0</v>
      </c>
      <c r="G692" s="146">
        <f>F692/$F$768</f>
        <v>0</v>
      </c>
    </row>
    <row r="693" spans="1:7" ht="15" customHeight="1" x14ac:dyDescent="0.25">
      <c r="A693" s="58"/>
      <c r="B693" s="84">
        <v>606400</v>
      </c>
      <c r="C693" s="85" t="s">
        <v>64</v>
      </c>
      <c r="D693" s="82"/>
      <c r="E693" s="82"/>
      <c r="F693" s="104">
        <f>SUMIF($B$6:$B$551,"=606400",$E$6:$BZ$551)</f>
        <v>226.79000000000002</v>
      </c>
      <c r="G693" s="146">
        <f>F693/$F$768</f>
        <v>4.9721073961166316E-3</v>
      </c>
    </row>
    <row r="694" spans="1:7" ht="15" customHeight="1" x14ac:dyDescent="0.25">
      <c r="A694" s="58"/>
      <c r="B694" s="84">
        <v>606500</v>
      </c>
      <c r="C694" s="85" t="s">
        <v>66</v>
      </c>
      <c r="D694" s="82"/>
      <c r="E694" s="82"/>
      <c r="F694" s="104">
        <f>SUMIF($B$6:$B$551,"=606500",$E$6:$BZ$551)</f>
        <v>0</v>
      </c>
      <c r="G694" s="146">
        <f>F694/$F$768</f>
        <v>0</v>
      </c>
    </row>
    <row r="695" spans="1:7" ht="15" customHeight="1" x14ac:dyDescent="0.25">
      <c r="A695" s="58"/>
      <c r="B695" s="84">
        <v>606800</v>
      </c>
      <c r="C695" s="85" t="s">
        <v>67</v>
      </c>
      <c r="D695" s="82"/>
      <c r="E695" s="82"/>
      <c r="F695" s="104">
        <f>SUMIF($B$6:$B$551,"=606800",$E$6:$BZ$551)</f>
        <v>31.7</v>
      </c>
      <c r="G695" s="146">
        <f>F695/$F$768</f>
        <v>6.949856892142387E-4</v>
      </c>
    </row>
    <row r="696" spans="1:7" ht="12.9" customHeight="1" x14ac:dyDescent="0.25">
      <c r="A696" s="58"/>
      <c r="B696" s="84"/>
      <c r="C696" s="85"/>
      <c r="D696" s="82"/>
      <c r="E696" s="82"/>
      <c r="F696" s="105"/>
      <c r="G696" s="146" t="s">
        <v>184</v>
      </c>
    </row>
    <row r="697" spans="1:7" ht="15" customHeight="1" x14ac:dyDescent="0.25">
      <c r="A697" s="58"/>
      <c r="B697" s="84">
        <v>607100</v>
      </c>
      <c r="C697" s="85" t="s">
        <v>68</v>
      </c>
      <c r="D697" s="82"/>
      <c r="E697" s="82"/>
      <c r="F697" s="104">
        <f>SUMIF($B$6:$B$551,"=607100",$E$6:$BZ$551)</f>
        <v>7.68</v>
      </c>
      <c r="G697" s="146">
        <f>F697/$F$768</f>
        <v>1.6837508180332343E-4</v>
      </c>
    </row>
    <row r="698" spans="1:7" ht="15" customHeight="1" x14ac:dyDescent="0.25">
      <c r="A698" s="58"/>
      <c r="B698" s="84">
        <v>607200</v>
      </c>
      <c r="C698" s="85" t="s">
        <v>69</v>
      </c>
      <c r="D698" s="82"/>
      <c r="E698" s="82"/>
      <c r="F698" s="104">
        <f>SUMIF($B$6:$B$551,"=607200",$E$6:$BZ$551)</f>
        <v>33.440000000000005</v>
      </c>
      <c r="G698" s="146">
        <f>F698/$F$768</f>
        <v>7.3313316868530429E-4</v>
      </c>
    </row>
    <row r="699" spans="1:7" ht="15" customHeight="1" x14ac:dyDescent="0.25">
      <c r="A699" s="58"/>
      <c r="B699" s="84">
        <v>607500</v>
      </c>
      <c r="C699" s="85" t="s">
        <v>71</v>
      </c>
      <c r="D699" s="82"/>
      <c r="E699" s="82"/>
      <c r="F699" s="104">
        <f>SUMIF($B$6:$B$551,"=607500",$E$6:$BZ$551)</f>
        <v>0</v>
      </c>
      <c r="G699" s="146">
        <f>F699/$F$768</f>
        <v>0</v>
      </c>
    </row>
    <row r="700" spans="1:7" ht="15" customHeight="1" x14ac:dyDescent="0.25">
      <c r="A700" s="58"/>
      <c r="B700" s="84">
        <v>607600</v>
      </c>
      <c r="C700" s="85" t="s">
        <v>70</v>
      </c>
      <c r="D700" s="82"/>
      <c r="E700" s="82"/>
      <c r="F700" s="104">
        <f>SUMIF($B$6:$B$551,"=607600",$E$6:$BZ$551)</f>
        <v>0</v>
      </c>
      <c r="G700" s="146">
        <f>F700/$F$768</f>
        <v>0</v>
      </c>
    </row>
    <row r="701" spans="1:7" ht="15" customHeight="1" thickBot="1" x14ac:dyDescent="0.3">
      <c r="A701" s="58"/>
      <c r="B701" s="95">
        <v>607700</v>
      </c>
      <c r="C701" s="5" t="s">
        <v>72</v>
      </c>
      <c r="D701" s="82"/>
      <c r="E701" s="82"/>
      <c r="F701" s="158">
        <f>SUMIF($B$6:$B$551,"=607700",$E$6:$BZ$551)</f>
        <v>0</v>
      </c>
      <c r="G701" s="146">
        <f>F701/$F$768</f>
        <v>0</v>
      </c>
    </row>
    <row r="702" spans="1:7" ht="20.149999999999999" customHeight="1" thickBot="1" x14ac:dyDescent="0.4">
      <c r="A702" s="58"/>
      <c r="B702" s="28"/>
      <c r="C702" s="75"/>
      <c r="D702" s="366" t="s">
        <v>80</v>
      </c>
      <c r="E702" s="367"/>
      <c r="F702" s="77">
        <f>SUM(F644:F701)</f>
        <v>40585.319999999992</v>
      </c>
      <c r="G702" s="146" t="s">
        <v>184</v>
      </c>
    </row>
    <row r="703" spans="1:7" ht="15" customHeight="1" x14ac:dyDescent="0.25">
      <c r="A703" s="58"/>
      <c r="B703" s="28"/>
      <c r="C703" s="29"/>
      <c r="D703" s="62"/>
      <c r="E703" s="62"/>
      <c r="F703" s="71"/>
      <c r="G703" s="146" t="s">
        <v>184</v>
      </c>
    </row>
    <row r="704" spans="1:7" ht="15" customHeight="1" thickBot="1" x14ac:dyDescent="0.3">
      <c r="A704" s="58"/>
      <c r="B704" s="28"/>
      <c r="C704" s="29"/>
      <c r="D704" s="62"/>
      <c r="E704" s="62"/>
      <c r="F704" s="71"/>
      <c r="G704" s="146" t="s">
        <v>184</v>
      </c>
    </row>
    <row r="705" spans="1:7" ht="20.149999999999999" customHeight="1" thickBot="1" x14ac:dyDescent="0.4">
      <c r="A705" s="58"/>
      <c r="B705" s="28"/>
      <c r="C705" s="76"/>
      <c r="D705" s="366" t="s">
        <v>81</v>
      </c>
      <c r="E705" s="367"/>
      <c r="F705" s="77">
        <f>F702</f>
        <v>40585.319999999992</v>
      </c>
      <c r="G705" s="146" t="s">
        <v>184</v>
      </c>
    </row>
    <row r="706" spans="1:7" ht="15" customHeight="1" x14ac:dyDescent="0.25">
      <c r="A706" s="58"/>
      <c r="B706" s="80">
        <v>613200</v>
      </c>
      <c r="C706" s="93" t="s">
        <v>167</v>
      </c>
      <c r="D706" s="82"/>
      <c r="E706" s="82"/>
      <c r="F706" s="104">
        <f>SUMIF($B$6:$B$551,"=613200",$E$6:$BZ$551)</f>
        <v>0</v>
      </c>
      <c r="G706" s="146">
        <f>F706/$F$768</f>
        <v>0</v>
      </c>
    </row>
    <row r="707" spans="1:7" ht="15" customHeight="1" x14ac:dyDescent="0.25">
      <c r="A707" s="58"/>
      <c r="B707" s="84">
        <v>613500</v>
      </c>
      <c r="C707" s="93" t="s">
        <v>168</v>
      </c>
      <c r="D707" s="82"/>
      <c r="E707" s="82"/>
      <c r="F707" s="104">
        <f>SUMIF($B$6:$B$551,"=613500",$E$6:$BZ$551)</f>
        <v>0</v>
      </c>
      <c r="G707" s="146">
        <f>F707/$F$768</f>
        <v>0</v>
      </c>
    </row>
    <row r="708" spans="1:7" ht="15" customHeight="1" x14ac:dyDescent="0.25">
      <c r="A708" s="58"/>
      <c r="B708" s="84">
        <v>613600</v>
      </c>
      <c r="C708" s="93" t="s">
        <v>169</v>
      </c>
      <c r="D708" s="82"/>
      <c r="E708" s="82"/>
      <c r="F708" s="104">
        <f>SUMIF($B$6:$B$551,"=613600",$E$6:$BZ$551)</f>
        <v>0</v>
      </c>
      <c r="G708" s="146">
        <f>F708/$F$768</f>
        <v>0</v>
      </c>
    </row>
    <row r="709" spans="1:7" ht="15" customHeight="1" x14ac:dyDescent="0.25">
      <c r="A709" s="58"/>
      <c r="B709" s="84"/>
      <c r="C709" s="93"/>
      <c r="D709" s="82"/>
      <c r="E709" s="82"/>
      <c r="F709" s="104"/>
      <c r="G709" s="146" t="s">
        <v>184</v>
      </c>
    </row>
    <row r="710" spans="1:7" ht="15" customHeight="1" x14ac:dyDescent="0.25">
      <c r="A710" s="58"/>
      <c r="B710" s="84">
        <v>615200</v>
      </c>
      <c r="C710" s="93" t="s">
        <v>73</v>
      </c>
      <c r="D710" s="82"/>
      <c r="E710" s="82"/>
      <c r="F710" s="104">
        <f>SUMIF($B$6:$B$551,"=615200",$E$6:$BZ$551)</f>
        <v>0</v>
      </c>
      <c r="G710" s="146">
        <f>F710/$F$768</f>
        <v>0</v>
      </c>
    </row>
    <row r="711" spans="1:7" s="16" customFormat="1" ht="15" customHeight="1" x14ac:dyDescent="0.25">
      <c r="A711" s="58"/>
      <c r="B711" s="84">
        <v>615500</v>
      </c>
      <c r="C711" s="93" t="s">
        <v>74</v>
      </c>
      <c r="D711" s="82"/>
      <c r="E711" s="82"/>
      <c r="F711" s="104">
        <f>SUMIF($B$6:$B$551,"=615500",$E$6:$BZ$551)</f>
        <v>0</v>
      </c>
      <c r="G711" s="146">
        <f>F711/$F$768</f>
        <v>0</v>
      </c>
    </row>
    <row r="712" spans="1:7" ht="15" customHeight="1" x14ac:dyDescent="0.25">
      <c r="A712" s="58"/>
      <c r="B712" s="84">
        <v>615600</v>
      </c>
      <c r="C712" s="93" t="s">
        <v>75</v>
      </c>
      <c r="D712" s="82"/>
      <c r="E712" s="82"/>
      <c r="F712" s="104">
        <f>SUMIF($B$6:$B$551,"=615600",$E$6:$BZ$551)</f>
        <v>0</v>
      </c>
      <c r="G712" s="146">
        <f>F712/$F$768</f>
        <v>0</v>
      </c>
    </row>
    <row r="713" spans="1:7" ht="15" customHeight="1" x14ac:dyDescent="0.25">
      <c r="A713" s="58"/>
      <c r="B713" s="84"/>
      <c r="C713" s="93"/>
      <c r="D713" s="82"/>
      <c r="E713" s="82"/>
      <c r="F713" s="104"/>
      <c r="G713" s="146" t="s">
        <v>184</v>
      </c>
    </row>
    <row r="714" spans="1:7" ht="15" customHeight="1" x14ac:dyDescent="0.25">
      <c r="A714" s="58"/>
      <c r="B714" s="84">
        <v>616100</v>
      </c>
      <c r="C714" s="93" t="s">
        <v>76</v>
      </c>
      <c r="D714" s="82"/>
      <c r="E714" s="82"/>
      <c r="F714" s="104">
        <f>SUMIF($B$6:$B$551,"=616100",$E$6:$BZ$551)</f>
        <v>0</v>
      </c>
      <c r="G714" s="146">
        <f>F714/$F$768</f>
        <v>0</v>
      </c>
    </row>
    <row r="715" spans="1:7" ht="15" customHeight="1" x14ac:dyDescent="0.25">
      <c r="A715" s="58"/>
      <c r="B715" s="84">
        <v>616200</v>
      </c>
      <c r="C715" s="93" t="s">
        <v>77</v>
      </c>
      <c r="D715" s="82"/>
      <c r="E715" s="82"/>
      <c r="F715" s="104">
        <f>SUMIF($B$6:$B$551,"=616200",$E$6:$BZ$551)</f>
        <v>0</v>
      </c>
      <c r="G715" s="146">
        <f>F715/$F$768</f>
        <v>0</v>
      </c>
    </row>
    <row r="716" spans="1:7" ht="15" customHeight="1" x14ac:dyDescent="0.25">
      <c r="A716" s="58"/>
      <c r="B716" s="84">
        <v>616300</v>
      </c>
      <c r="C716" s="93" t="s">
        <v>78</v>
      </c>
      <c r="D716" s="82"/>
      <c r="E716" s="82"/>
      <c r="F716" s="104">
        <f>SUMIF($B$6:$B$551,"=616300",$E$6:$BZ$551)</f>
        <v>0</v>
      </c>
      <c r="G716" s="146">
        <f>F716/$F$768</f>
        <v>0</v>
      </c>
    </row>
    <row r="717" spans="1:7" ht="15" customHeight="1" x14ac:dyDescent="0.25">
      <c r="A717" s="58"/>
      <c r="B717" s="84">
        <v>616800</v>
      </c>
      <c r="C717" s="93" t="s">
        <v>79</v>
      </c>
      <c r="D717" s="82"/>
      <c r="E717" s="82"/>
      <c r="F717" s="104">
        <f>SUMIF($B$6:$B$551,"=616800",$E$6:$BZ$551)</f>
        <v>0</v>
      </c>
      <c r="G717" s="146">
        <f>F717/$F$768</f>
        <v>0</v>
      </c>
    </row>
    <row r="718" spans="1:7" ht="15" customHeight="1" x14ac:dyDescent="0.25">
      <c r="A718" s="69"/>
      <c r="B718" s="86"/>
      <c r="C718" s="152"/>
      <c r="D718" s="88"/>
      <c r="E718" s="88"/>
      <c r="F718" s="153"/>
      <c r="G718" s="146" t="s">
        <v>184</v>
      </c>
    </row>
    <row r="719" spans="1:7" ht="15" customHeight="1" x14ac:dyDescent="0.25">
      <c r="A719" s="58"/>
      <c r="B719" s="84">
        <v>618100</v>
      </c>
      <c r="C719" s="93" t="s">
        <v>82</v>
      </c>
      <c r="D719" s="82"/>
      <c r="E719" s="82"/>
      <c r="F719" s="104">
        <f>SUMIF($B$6:$B$551,"=618100",$E$6:$BZ$551)</f>
        <v>0</v>
      </c>
      <c r="G719" s="146">
        <f>F719/$F$768</f>
        <v>0</v>
      </c>
    </row>
    <row r="720" spans="1:7" ht="15" customHeight="1" x14ac:dyDescent="0.25">
      <c r="A720" s="58"/>
      <c r="B720" s="84">
        <v>618300</v>
      </c>
      <c r="C720" s="93" t="s">
        <v>83</v>
      </c>
      <c r="D720" s="82"/>
      <c r="E720" s="82"/>
      <c r="F720" s="104">
        <f>SUMIF($B$6:$B$551,"=618300",$E$6:$BZ$551)</f>
        <v>0</v>
      </c>
      <c r="G720" s="146">
        <f>F720/$F$768</f>
        <v>0</v>
      </c>
    </row>
    <row r="721" spans="1:7" ht="15" customHeight="1" x14ac:dyDescent="0.25">
      <c r="A721" s="58"/>
      <c r="B721" s="84">
        <v>618400</v>
      </c>
      <c r="C721" s="93" t="s">
        <v>136</v>
      </c>
      <c r="D721" s="82"/>
      <c r="E721" s="82"/>
      <c r="F721" s="104">
        <f>SUMIF($B$6:$B$551,"=618400",$E$6:$BZ$551)</f>
        <v>0</v>
      </c>
      <c r="G721" s="146">
        <f>F721/$F$768</f>
        <v>0</v>
      </c>
    </row>
    <row r="722" spans="1:7" ht="15" customHeight="1" x14ac:dyDescent="0.25">
      <c r="A722" s="58"/>
      <c r="B722" s="84">
        <v>618500</v>
      </c>
      <c r="C722" s="93" t="s">
        <v>84</v>
      </c>
      <c r="D722" s="82"/>
      <c r="E722" s="82"/>
      <c r="F722" s="104">
        <f>SUMIF($B$6:$B$551,"=618500",$E$6:$BZ$551)</f>
        <v>0</v>
      </c>
      <c r="G722" s="146">
        <f>F722/$F$768</f>
        <v>0</v>
      </c>
    </row>
    <row r="723" spans="1:7" ht="15" customHeight="1" x14ac:dyDescent="0.25">
      <c r="A723" s="58"/>
      <c r="B723" s="84"/>
      <c r="C723" s="93"/>
      <c r="D723" s="82"/>
      <c r="E723" s="82"/>
      <c r="F723" s="154"/>
      <c r="G723" s="146" t="s">
        <v>184</v>
      </c>
    </row>
    <row r="724" spans="1:7" ht="15" customHeight="1" x14ac:dyDescent="0.25">
      <c r="A724" s="58"/>
      <c r="B724" s="84">
        <v>622610</v>
      </c>
      <c r="C724" s="93" t="s">
        <v>85</v>
      </c>
      <c r="D724" s="82"/>
      <c r="E724" s="82"/>
      <c r="F724" s="104">
        <f>SUMIF($B$6:$B$551,"=622610",$E$6:$BZ$551)</f>
        <v>1320</v>
      </c>
      <c r="G724" s="146">
        <f>F724/$F$768</f>
        <v>2.8939467184946218E-2</v>
      </c>
    </row>
    <row r="725" spans="1:7" ht="15" customHeight="1" x14ac:dyDescent="0.25">
      <c r="A725" s="58"/>
      <c r="B725" s="84">
        <v>622620</v>
      </c>
      <c r="C725" s="93" t="s">
        <v>86</v>
      </c>
      <c r="D725" s="82"/>
      <c r="E725" s="82"/>
      <c r="F725" s="104">
        <f>SUMIF($B$6:$B$551,"=622620",$E$6:$BZ$551)</f>
        <v>0</v>
      </c>
      <c r="G725" s="146">
        <f>F725/$F$768</f>
        <v>0</v>
      </c>
    </row>
    <row r="726" spans="1:7" ht="15" customHeight="1" x14ac:dyDescent="0.25">
      <c r="A726" s="58"/>
      <c r="B726" s="84">
        <v>622630</v>
      </c>
      <c r="C726" s="155" t="s">
        <v>87</v>
      </c>
      <c r="D726" s="82"/>
      <c r="E726" s="82"/>
      <c r="F726" s="104">
        <f>SUMIF($B$6:$B$551,"=622630",$E$6:$BZ$551)</f>
        <v>0</v>
      </c>
      <c r="G726" s="146">
        <f>F726/$F$768</f>
        <v>0</v>
      </c>
    </row>
    <row r="727" spans="1:7" ht="15" customHeight="1" x14ac:dyDescent="0.25">
      <c r="A727" s="58"/>
      <c r="B727" s="84">
        <v>622640</v>
      </c>
      <c r="C727" s="93" t="s">
        <v>88</v>
      </c>
      <c r="D727" s="82"/>
      <c r="E727" s="82"/>
      <c r="F727" s="104">
        <f>SUMIF($B$6:$B$551,"=622640",$E$6:$BZ$551)</f>
        <v>3569.5</v>
      </c>
      <c r="G727" s="146">
        <f>F727/$F$768</f>
        <v>7.8257142512625402E-2</v>
      </c>
    </row>
    <row r="728" spans="1:7" ht="15" customHeight="1" x14ac:dyDescent="0.25">
      <c r="A728" s="58"/>
      <c r="B728" s="84">
        <v>622700</v>
      </c>
      <c r="C728" s="93" t="s">
        <v>89</v>
      </c>
      <c r="D728" s="82"/>
      <c r="E728" s="82"/>
      <c r="F728" s="104">
        <f>SUMIF($B$6:$B$551,"=622700",$E$6:$BZ$551)</f>
        <v>0</v>
      </c>
      <c r="G728" s="146">
        <f>F728/$F$768</f>
        <v>0</v>
      </c>
    </row>
    <row r="729" spans="1:7" ht="15" customHeight="1" x14ac:dyDescent="0.25">
      <c r="A729" s="58"/>
      <c r="B729" s="84"/>
      <c r="C729" s="93"/>
      <c r="D729" s="82"/>
      <c r="E729" s="82"/>
      <c r="F729" s="154"/>
      <c r="G729" s="146" t="s">
        <v>184</v>
      </c>
    </row>
    <row r="730" spans="1:7" ht="15" customHeight="1" x14ac:dyDescent="0.25">
      <c r="A730" s="58"/>
      <c r="B730" s="84">
        <v>623100</v>
      </c>
      <c r="C730" s="93" t="s">
        <v>90</v>
      </c>
      <c r="D730" s="82"/>
      <c r="E730" s="82"/>
      <c r="F730" s="104">
        <f>SUMIF($B$6:$B$551,"=623100",$E$6:$BZ$551)</f>
        <v>0</v>
      </c>
      <c r="G730" s="146">
        <f>F730/$F$768</f>
        <v>0</v>
      </c>
    </row>
    <row r="731" spans="1:7" ht="15" customHeight="1" x14ac:dyDescent="0.25">
      <c r="A731" s="58"/>
      <c r="B731" s="84">
        <v>623300</v>
      </c>
      <c r="C731" s="93" t="s">
        <v>91</v>
      </c>
      <c r="D731" s="82"/>
      <c r="E731" s="82"/>
      <c r="F731" s="104">
        <f>SUMIF($B$6:$B$551,"=623300",$E$6:$BZ$551)</f>
        <v>0</v>
      </c>
      <c r="G731" s="146">
        <f>F731/$F$768</f>
        <v>0</v>
      </c>
    </row>
    <row r="732" spans="1:7" ht="15" customHeight="1" x14ac:dyDescent="0.25">
      <c r="A732" s="58"/>
      <c r="B732" s="84">
        <v>623600</v>
      </c>
      <c r="C732" s="93" t="s">
        <v>92</v>
      </c>
      <c r="D732" s="82"/>
      <c r="E732" s="82"/>
      <c r="F732" s="104">
        <f>SUMIF($B$6:$B$551,"=623600",$E$6:$BZ$551)</f>
        <v>0</v>
      </c>
      <c r="G732" s="146">
        <f>F732/$F$768</f>
        <v>0</v>
      </c>
    </row>
    <row r="733" spans="1:7" ht="15" customHeight="1" x14ac:dyDescent="0.25">
      <c r="A733" s="58"/>
      <c r="B733" s="84">
        <v>623700</v>
      </c>
      <c r="C733" s="93" t="s">
        <v>93</v>
      </c>
      <c r="D733" s="82"/>
      <c r="E733" s="82"/>
      <c r="F733" s="104">
        <f>SUMIF($B$6:$B$551,"=623700",$E$6:$BZ$551)</f>
        <v>0</v>
      </c>
      <c r="G733" s="146">
        <f>F733/$F$768</f>
        <v>0</v>
      </c>
    </row>
    <row r="734" spans="1:7" ht="15" customHeight="1" x14ac:dyDescent="0.25">
      <c r="A734" s="58"/>
      <c r="B734" s="84"/>
      <c r="C734" s="93"/>
      <c r="D734" s="82"/>
      <c r="E734" s="82"/>
      <c r="F734" s="154"/>
      <c r="G734" s="146" t="s">
        <v>184</v>
      </c>
    </row>
    <row r="735" spans="1:7" ht="15" customHeight="1" x14ac:dyDescent="0.25">
      <c r="A735" s="58"/>
      <c r="B735" s="84">
        <v>625111</v>
      </c>
      <c r="C735" s="93" t="s">
        <v>94</v>
      </c>
      <c r="D735" s="82"/>
      <c r="E735" s="82"/>
      <c r="F735" s="104">
        <f>SUMIF($B$6:$B$551,"=625111",$E$6:$BZ$551)</f>
        <v>0</v>
      </c>
      <c r="G735" s="146">
        <f t="shared" ref="G735:G743" si="11">F735/$F$768</f>
        <v>0</v>
      </c>
    </row>
    <row r="736" spans="1:7" ht="15" customHeight="1" x14ac:dyDescent="0.25">
      <c r="A736" s="58"/>
      <c r="B736" s="84">
        <v>625112</v>
      </c>
      <c r="C736" s="93" t="s">
        <v>95</v>
      </c>
      <c r="D736" s="82"/>
      <c r="E736" s="82"/>
      <c r="F736" s="104">
        <f>SUMIF($B$6:$B$551,"=625112",$E$6:$BZ$551)</f>
        <v>0</v>
      </c>
      <c r="G736" s="146">
        <f t="shared" si="11"/>
        <v>0</v>
      </c>
    </row>
    <row r="737" spans="1:7" ht="15" customHeight="1" x14ac:dyDescent="0.25">
      <c r="A737" s="58"/>
      <c r="B737" s="84">
        <v>625121</v>
      </c>
      <c r="C737" s="93" t="s">
        <v>96</v>
      </c>
      <c r="D737" s="82"/>
      <c r="E737" s="82"/>
      <c r="F737" s="104">
        <f>SUMIF($B$6:$B$551,"=625121",$E$6:$BZ$551)</f>
        <v>0</v>
      </c>
      <c r="G737" s="146">
        <f t="shared" si="11"/>
        <v>0</v>
      </c>
    </row>
    <row r="738" spans="1:7" ht="15" customHeight="1" x14ac:dyDescent="0.25">
      <c r="A738" s="58"/>
      <c r="B738" s="84">
        <v>625122</v>
      </c>
      <c r="C738" s="93" t="s">
        <v>97</v>
      </c>
      <c r="D738" s="82"/>
      <c r="E738" s="82"/>
      <c r="F738" s="104">
        <f>SUMIF($B$6:$B$551,"=625122",$E$6:$BZ$551)</f>
        <v>0</v>
      </c>
      <c r="G738" s="146">
        <f t="shared" si="11"/>
        <v>0</v>
      </c>
    </row>
    <row r="739" spans="1:7" ht="15" customHeight="1" x14ac:dyDescent="0.25">
      <c r="A739" s="58"/>
      <c r="B739" s="84">
        <v>625130</v>
      </c>
      <c r="C739" s="93" t="s">
        <v>22</v>
      </c>
      <c r="D739" s="82"/>
      <c r="E739" s="82"/>
      <c r="F739" s="104">
        <f>SUMIF($B$6:$B$551,"=625130",$E$6:$BZ$551)</f>
        <v>0</v>
      </c>
      <c r="G739" s="146">
        <f t="shared" si="11"/>
        <v>0</v>
      </c>
    </row>
    <row r="740" spans="1:7" ht="15" customHeight="1" x14ac:dyDescent="0.25">
      <c r="A740" s="58"/>
      <c r="B740" s="84">
        <v>625140</v>
      </c>
      <c r="C740" s="93" t="s">
        <v>98</v>
      </c>
      <c r="D740" s="82"/>
      <c r="E740" s="82"/>
      <c r="F740" s="104">
        <f>SUMIF($B$6:$B$551,"=625140",$E$6:$BZ$551)</f>
        <v>0</v>
      </c>
      <c r="G740" s="146">
        <f t="shared" si="11"/>
        <v>0</v>
      </c>
    </row>
    <row r="741" spans="1:7" ht="15" customHeight="1" x14ac:dyDescent="0.25">
      <c r="A741" s="58"/>
      <c r="B741" s="84">
        <v>625600</v>
      </c>
      <c r="C741" s="93" t="s">
        <v>99</v>
      </c>
      <c r="D741" s="82"/>
      <c r="E741" s="82"/>
      <c r="F741" s="104">
        <f>SUMIF($B$6:$B$551,"=625600",$E$6:$BZ$551)</f>
        <v>0</v>
      </c>
      <c r="G741" s="146">
        <f t="shared" si="11"/>
        <v>0</v>
      </c>
    </row>
    <row r="742" spans="1:7" ht="15" customHeight="1" x14ac:dyDescent="0.25">
      <c r="A742" s="58"/>
      <c r="B742" s="84">
        <v>625700</v>
      </c>
      <c r="C742" s="93" t="s">
        <v>100</v>
      </c>
      <c r="D742" s="82"/>
      <c r="E742" s="82"/>
      <c r="F742" s="104">
        <f>SUMIF($B$6:$B$551,"=625700",$E$6:$BZ$551)</f>
        <v>0</v>
      </c>
      <c r="G742" s="146">
        <f t="shared" si="11"/>
        <v>0</v>
      </c>
    </row>
    <row r="743" spans="1:7" ht="15" customHeight="1" x14ac:dyDescent="0.25">
      <c r="A743" s="58"/>
      <c r="B743" s="84">
        <v>625900</v>
      </c>
      <c r="C743" s="93" t="s">
        <v>101</v>
      </c>
      <c r="D743" s="82"/>
      <c r="E743" s="82"/>
      <c r="F743" s="104">
        <f>SUMIF($B$6:$B$551,"=625900",$E$6:$BZ$551)</f>
        <v>0</v>
      </c>
      <c r="G743" s="146">
        <f t="shared" si="11"/>
        <v>0</v>
      </c>
    </row>
    <row r="744" spans="1:7" ht="15" customHeight="1" x14ac:dyDescent="0.25">
      <c r="A744" s="58"/>
      <c r="B744" s="84"/>
      <c r="C744" s="93"/>
      <c r="D744" s="82"/>
      <c r="E744" s="82"/>
      <c r="F744" s="154"/>
      <c r="G744" s="146" t="s">
        <v>184</v>
      </c>
    </row>
    <row r="745" spans="1:7" ht="15" customHeight="1" x14ac:dyDescent="0.25">
      <c r="A745" s="58"/>
      <c r="B745" s="84">
        <v>626100</v>
      </c>
      <c r="C745" s="93" t="s">
        <v>102</v>
      </c>
      <c r="D745" s="82"/>
      <c r="E745" s="82"/>
      <c r="F745" s="104">
        <f>SUMIF($B$6:$B$551,"=626100",$E$6:$BZ$551)</f>
        <v>8.8000000000000007</v>
      </c>
      <c r="G745" s="146">
        <f>F745/$F$768</f>
        <v>1.9292978123297479E-4</v>
      </c>
    </row>
    <row r="746" spans="1:7" ht="15" customHeight="1" x14ac:dyDescent="0.25">
      <c r="A746" s="58"/>
      <c r="B746" s="84">
        <v>626200</v>
      </c>
      <c r="C746" s="93" t="s">
        <v>103</v>
      </c>
      <c r="D746" s="82"/>
      <c r="E746" s="82"/>
      <c r="F746" s="104">
        <f>SUMIF($B$6:$B$551,"=626200",$E$6:$BZ$551)</f>
        <v>113.07999999999998</v>
      </c>
      <c r="G746" s="146">
        <f>F746/$F$768</f>
        <v>2.4791476888437257E-3</v>
      </c>
    </row>
    <row r="747" spans="1:7" ht="15" customHeight="1" x14ac:dyDescent="0.25">
      <c r="A747" s="58"/>
      <c r="B747" s="84"/>
      <c r="C747" s="93"/>
      <c r="D747" s="82"/>
      <c r="E747" s="82"/>
      <c r="F747" s="154"/>
      <c r="G747" s="146" t="s">
        <v>184</v>
      </c>
    </row>
    <row r="748" spans="1:7" ht="15" customHeight="1" x14ac:dyDescent="0.25">
      <c r="A748" s="58"/>
      <c r="B748" s="84">
        <v>627800</v>
      </c>
      <c r="C748" s="93" t="s">
        <v>104</v>
      </c>
      <c r="D748" s="82"/>
      <c r="E748" s="82"/>
      <c r="F748" s="104">
        <f>SUMIF($B$6:$B$551,"=627800",$E$6:$BZ$551)</f>
        <v>15.75</v>
      </c>
      <c r="G748" s="146">
        <f>F748/$F$768</f>
        <v>3.4530046072947193E-4</v>
      </c>
    </row>
    <row r="749" spans="1:7" ht="15" customHeight="1" x14ac:dyDescent="0.25">
      <c r="A749" s="58"/>
      <c r="B749" s="84">
        <v>635400</v>
      </c>
      <c r="C749" s="93" t="s">
        <v>111</v>
      </c>
      <c r="D749" s="82"/>
      <c r="E749" s="82"/>
      <c r="F749" s="104">
        <f>SUMIF($B$6:$B$551,"=635400",$E$6:$BZ$551)</f>
        <v>0</v>
      </c>
      <c r="G749" s="146">
        <f>F749/$F$768</f>
        <v>0</v>
      </c>
    </row>
    <row r="750" spans="1:7" ht="15" customHeight="1" x14ac:dyDescent="0.25">
      <c r="A750" s="58"/>
      <c r="B750" s="84">
        <v>637500</v>
      </c>
      <c r="C750" s="93" t="s">
        <v>112</v>
      </c>
      <c r="D750" s="82"/>
      <c r="E750" s="82"/>
      <c r="F750" s="104">
        <f>SUMIF($B$6:$B$551,"=637500",$E$6:$BZ$551)</f>
        <v>0</v>
      </c>
      <c r="G750" s="146">
        <f>F750/$F$768</f>
        <v>0</v>
      </c>
    </row>
    <row r="751" spans="1:7" ht="15" customHeight="1" x14ac:dyDescent="0.25">
      <c r="A751" s="58"/>
      <c r="B751" s="84"/>
      <c r="C751" s="93"/>
      <c r="D751" s="82"/>
      <c r="E751" s="82"/>
      <c r="F751" s="154"/>
      <c r="G751" s="146" t="s">
        <v>184</v>
      </c>
    </row>
    <row r="752" spans="1:7" ht="15" customHeight="1" x14ac:dyDescent="0.25">
      <c r="A752" s="58"/>
      <c r="B752" s="84">
        <v>164000</v>
      </c>
      <c r="C752" s="93" t="s">
        <v>164</v>
      </c>
      <c r="D752" s="82"/>
      <c r="E752" s="82"/>
      <c r="F752" s="104">
        <f>SUMIF($B$6:$B$551,"=164000",$E$6:$BZ$551)</f>
        <v>0</v>
      </c>
      <c r="G752" s="146">
        <f>F752/$F$768</f>
        <v>0</v>
      </c>
    </row>
    <row r="753" spans="1:7" ht="15" customHeight="1" thickBot="1" x14ac:dyDescent="0.3">
      <c r="A753" s="58"/>
      <c r="B753" s="95">
        <v>275100</v>
      </c>
      <c r="C753" s="93" t="s">
        <v>166</v>
      </c>
      <c r="D753" s="82"/>
      <c r="E753" s="82"/>
      <c r="F753" s="104">
        <f>SUMIF($B$6:$B$551,"=275100",$E$6:$BZ$551)</f>
        <v>0</v>
      </c>
      <c r="G753" s="146">
        <f>F753/$F$768</f>
        <v>0</v>
      </c>
    </row>
    <row r="754" spans="1:7" ht="20.149999999999999" customHeight="1" thickBot="1" x14ac:dyDescent="0.4">
      <c r="A754" s="58"/>
      <c r="B754" s="28"/>
      <c r="C754" s="75"/>
      <c r="D754" s="413" t="s">
        <v>80</v>
      </c>
      <c r="E754" s="414"/>
      <c r="F754" s="77">
        <f>SUM(F705:F753)</f>
        <v>45612.45</v>
      </c>
      <c r="G754" s="146" t="s">
        <v>184</v>
      </c>
    </row>
    <row r="755" spans="1:7" ht="15" customHeight="1" x14ac:dyDescent="0.25">
      <c r="A755" s="58"/>
      <c r="B755" s="28"/>
      <c r="C755" s="29"/>
      <c r="D755" s="62"/>
      <c r="E755" s="62"/>
      <c r="F755" s="71"/>
      <c r="G755" s="146" t="s">
        <v>184</v>
      </c>
    </row>
    <row r="756" spans="1:7" ht="15" customHeight="1" thickBot="1" x14ac:dyDescent="0.3">
      <c r="A756" s="58"/>
      <c r="B756" s="28"/>
      <c r="C756" s="29"/>
      <c r="D756" s="62"/>
      <c r="E756" s="62"/>
      <c r="F756" s="71"/>
      <c r="G756" s="146" t="s">
        <v>184</v>
      </c>
    </row>
    <row r="757" spans="1:7" ht="20.149999999999999" customHeight="1" thickBot="1" x14ac:dyDescent="0.4">
      <c r="A757" s="58"/>
      <c r="B757" s="28"/>
      <c r="C757" s="76"/>
      <c r="D757" s="413" t="s">
        <v>81</v>
      </c>
      <c r="E757" s="414"/>
      <c r="F757" s="77">
        <f>F754</f>
        <v>45612.45</v>
      </c>
      <c r="G757" s="146" t="s">
        <v>184</v>
      </c>
    </row>
    <row r="758" spans="1:7" ht="15" customHeight="1" x14ac:dyDescent="0.25">
      <c r="A758" s="58"/>
      <c r="B758" s="80"/>
      <c r="C758" s="85"/>
      <c r="D758" s="82"/>
      <c r="E758" s="82"/>
      <c r="F758" s="156"/>
      <c r="G758" s="146" t="s">
        <v>184</v>
      </c>
    </row>
    <row r="759" spans="1:7" ht="15" customHeight="1" x14ac:dyDescent="0.25">
      <c r="A759" s="58"/>
      <c r="B759" s="84">
        <v>661100</v>
      </c>
      <c r="C759" s="85" t="s">
        <v>113</v>
      </c>
      <c r="D759" s="82"/>
      <c r="E759" s="82"/>
      <c r="F759" s="104">
        <f>SUMIF($B$6:$B$551,"=661100",$E$6:$BZ$551)</f>
        <v>0</v>
      </c>
      <c r="G759" s="146">
        <f>F759/$F$768</f>
        <v>0</v>
      </c>
    </row>
    <row r="760" spans="1:7" ht="15" customHeight="1" x14ac:dyDescent="0.25">
      <c r="A760" s="58"/>
      <c r="B760" s="84">
        <v>661600</v>
      </c>
      <c r="C760" s="93" t="s">
        <v>114</v>
      </c>
      <c r="D760" s="82"/>
      <c r="E760" s="82"/>
      <c r="F760" s="104">
        <f>SUMIF($B$6:$B$551,"=661600",$E$6:$BZ$551)</f>
        <v>0</v>
      </c>
      <c r="G760" s="146">
        <f>F760/$F$768</f>
        <v>0</v>
      </c>
    </row>
    <row r="761" spans="1:7" ht="15" customHeight="1" x14ac:dyDescent="0.25">
      <c r="A761" s="58"/>
      <c r="B761" s="84"/>
      <c r="C761" s="85"/>
      <c r="D761" s="82"/>
      <c r="E761" s="82"/>
      <c r="F761" s="157"/>
      <c r="G761" s="146" t="s">
        <v>184</v>
      </c>
    </row>
    <row r="762" spans="1:7" ht="15" customHeight="1" x14ac:dyDescent="0.25">
      <c r="A762" s="58"/>
      <c r="B762" s="84">
        <v>681510</v>
      </c>
      <c r="C762" s="85" t="s">
        <v>122</v>
      </c>
      <c r="D762" s="82"/>
      <c r="E762" s="82"/>
      <c r="F762" s="104">
        <f>SUMIF($B$6:$B$551,"=681510",$E$6:$BZ$551)</f>
        <v>0</v>
      </c>
      <c r="G762" s="146">
        <f>F762/$F$768</f>
        <v>0</v>
      </c>
    </row>
    <row r="763" spans="1:7" ht="15" customHeight="1" x14ac:dyDescent="0.25">
      <c r="A763" s="58"/>
      <c r="B763" s="84">
        <v>681530</v>
      </c>
      <c r="C763" s="85" t="s">
        <v>121</v>
      </c>
      <c r="D763" s="82"/>
      <c r="E763" s="82"/>
      <c r="F763" s="104">
        <f>SUMIF($B$6:$B$551,"=681530",$E$6:$BZ$551)</f>
        <v>0</v>
      </c>
      <c r="G763" s="146">
        <f>F763/$F$768</f>
        <v>0</v>
      </c>
    </row>
    <row r="764" spans="1:7" ht="15" customHeight="1" x14ac:dyDescent="0.25">
      <c r="A764" s="58"/>
      <c r="B764" s="84">
        <v>681540</v>
      </c>
      <c r="C764" s="93" t="s">
        <v>123</v>
      </c>
      <c r="D764" s="82"/>
      <c r="E764" s="82"/>
      <c r="F764" s="104">
        <f>SUMIF($B$6:$B$551,"=681540",$E$6:$BZ$551)</f>
        <v>0</v>
      </c>
      <c r="G764" s="146">
        <f>F764/$F$768</f>
        <v>0</v>
      </c>
    </row>
    <row r="765" spans="1:7" ht="15" customHeight="1" x14ac:dyDescent="0.25">
      <c r="A765" s="58"/>
      <c r="B765" s="84">
        <v>681550</v>
      </c>
      <c r="C765" s="93" t="s">
        <v>209</v>
      </c>
      <c r="D765" s="82"/>
      <c r="E765" s="82"/>
      <c r="F765" s="104">
        <f>SUMIF($B$6:$B$551,"=681550",$E$6:$BZ$551)</f>
        <v>0</v>
      </c>
      <c r="G765" s="146">
        <f>F765/$F$768</f>
        <v>0</v>
      </c>
    </row>
    <row r="766" spans="1:7" ht="15" customHeight="1" x14ac:dyDescent="0.25">
      <c r="A766" s="58"/>
      <c r="B766" s="95">
        <v>681560</v>
      </c>
      <c r="C766" s="96" t="s">
        <v>206</v>
      </c>
      <c r="D766" s="97"/>
      <c r="E766" s="97"/>
      <c r="F766" s="151">
        <f>SUMIF($B$6:$B$551,"=681560",$E$6:$BZ$551)</f>
        <v>0</v>
      </c>
      <c r="G766" s="146"/>
    </row>
    <row r="767" spans="1:7" ht="12" customHeight="1" thickBot="1" x14ac:dyDescent="0.3">
      <c r="A767" s="58"/>
      <c r="B767" s="28"/>
      <c r="C767" s="29"/>
      <c r="D767" s="62"/>
      <c r="E767" s="62"/>
      <c r="F767" s="67"/>
      <c r="G767" s="146" t="s">
        <v>184</v>
      </c>
    </row>
    <row r="768" spans="1:7" ht="20.149999999999999" customHeight="1" thickBot="1" x14ac:dyDescent="0.35">
      <c r="A768" s="58"/>
      <c r="B768" s="28"/>
      <c r="C768" s="60"/>
      <c r="D768" s="364" t="s">
        <v>0</v>
      </c>
      <c r="E768" s="365"/>
      <c r="F768" s="107">
        <f>SUM(F757:F766)</f>
        <v>45612.45</v>
      </c>
      <c r="G768" s="147">
        <f>SUM(G644:G765)</f>
        <v>1</v>
      </c>
    </row>
    <row r="769" spans="1:6" ht="12" customHeight="1" thickBot="1" x14ac:dyDescent="0.3">
      <c r="A769" s="59"/>
      <c r="B769" s="52"/>
      <c r="C769" s="57"/>
      <c r="D769" s="56"/>
      <c r="E769" s="56"/>
      <c r="F769" s="70"/>
    </row>
    <row r="770" spans="1:6" ht="13" thickBot="1" x14ac:dyDescent="0.3">
      <c r="A770" s="17"/>
      <c r="B770" s="17"/>
      <c r="D770" s="18"/>
      <c r="E770" s="18"/>
      <c r="F770" s="18"/>
    </row>
    <row r="771" spans="1:6" x14ac:dyDescent="0.25">
      <c r="A771" s="17"/>
      <c r="B771" s="2"/>
      <c r="C771" s="3"/>
      <c r="D771" s="3"/>
      <c r="E771" s="11"/>
      <c r="F771" s="18"/>
    </row>
    <row r="772" spans="1:6" ht="13" x14ac:dyDescent="0.3">
      <c r="A772" s="17"/>
      <c r="B772" s="4"/>
      <c r="C772" s="1" t="s">
        <v>117</v>
      </c>
      <c r="D772" s="1"/>
      <c r="E772" s="12"/>
      <c r="F772" s="18"/>
    </row>
    <row r="773" spans="1:6" ht="13" x14ac:dyDescent="0.3">
      <c r="A773" s="17"/>
      <c r="B773" s="6"/>
      <c r="C773" s="1"/>
      <c r="D773" s="1"/>
      <c r="E773" s="12"/>
      <c r="F773" s="18"/>
    </row>
    <row r="774" spans="1:6" ht="13" x14ac:dyDescent="0.3">
      <c r="A774" s="17"/>
      <c r="B774" s="15" t="s">
        <v>150</v>
      </c>
      <c r="C774" s="5" t="s">
        <v>124</v>
      </c>
      <c r="D774" s="41">
        <f>IF(F637-F768&gt;0,F637-F768," ")</f>
        <v>506.22000000000844</v>
      </c>
      <c r="E774" s="14"/>
      <c r="F774" s="18"/>
    </row>
    <row r="775" spans="1:6" ht="13" x14ac:dyDescent="0.3">
      <c r="A775" s="17"/>
      <c r="B775" s="15" t="s">
        <v>151</v>
      </c>
      <c r="C775" s="5" t="s">
        <v>125</v>
      </c>
      <c r="D775" s="41" t="str">
        <f>IF(F637-F768&lt;0,F637-F768," ")</f>
        <v xml:space="preserve"> </v>
      </c>
      <c r="E775" s="14"/>
      <c r="F775" s="18"/>
    </row>
    <row r="776" spans="1:6" ht="13" x14ac:dyDescent="0.3">
      <c r="A776" s="17"/>
      <c r="B776" s="15"/>
      <c r="C776" s="5"/>
      <c r="D776" s="13"/>
      <c r="E776" s="14"/>
      <c r="F776" s="18"/>
    </row>
    <row r="777" spans="1:6" ht="13" x14ac:dyDescent="0.3">
      <c r="A777" s="17"/>
      <c r="B777" s="15"/>
      <c r="C777" s="5" t="s">
        <v>165</v>
      </c>
      <c r="D777" s="41">
        <f>F559</f>
        <v>0</v>
      </c>
      <c r="E777" s="14"/>
      <c r="F777" s="18"/>
    </row>
    <row r="778" spans="1:6" ht="13" thickBot="1" x14ac:dyDescent="0.3">
      <c r="A778" s="17"/>
      <c r="B778" s="7"/>
      <c r="C778" s="8"/>
      <c r="D778" s="9"/>
      <c r="E778" s="10"/>
      <c r="F778" s="18"/>
    </row>
    <row r="779" spans="1:6" x14ac:dyDescent="0.25">
      <c r="A779" s="17"/>
      <c r="B779" s="20"/>
      <c r="C779" s="19"/>
      <c r="D779" s="21"/>
      <c r="E779" s="21"/>
      <c r="F779" s="18"/>
    </row>
    <row r="781" spans="1:6" x14ac:dyDescent="0.25">
      <c r="D781" s="22" t="e">
        <f>D775-C555</f>
        <v>#VALUE!</v>
      </c>
    </row>
  </sheetData>
  <autoFilter ref="B566:G768" xr:uid="{00000000-0009-0000-0000-000003000000}"/>
  <sortState xmlns:xlrd2="http://schemas.microsoft.com/office/spreadsheetml/2017/richdata2" ref="A120:E131">
    <sortCondition ref="A120:A131"/>
  </sortState>
  <mergeCells count="20">
    <mergeCell ref="D757:E757"/>
    <mergeCell ref="D768:E768"/>
    <mergeCell ref="D625:E625"/>
    <mergeCell ref="D637:E637"/>
    <mergeCell ref="A641:F642"/>
    <mergeCell ref="D702:E702"/>
    <mergeCell ref="D705:E705"/>
    <mergeCell ref="D754:E754"/>
    <mergeCell ref="D622:E622"/>
    <mergeCell ref="D2:E2"/>
    <mergeCell ref="G4:G5"/>
    <mergeCell ref="A552:B552"/>
    <mergeCell ref="A553:B553"/>
    <mergeCell ref="A555:B555"/>
    <mergeCell ref="C557:E557"/>
    <mergeCell ref="C558:E558"/>
    <mergeCell ref="C559:E559"/>
    <mergeCell ref="A565:F565"/>
    <mergeCell ref="A562:G562"/>
    <mergeCell ref="A554:B554"/>
  </mergeCells>
  <conditionalFormatting sqref="C555">
    <cfRule type="cellIs" dxfId="4" priority="6" operator="between">
      <formula>0</formula>
      <formula>1000000</formula>
    </cfRule>
  </conditionalFormatting>
  <conditionalFormatting sqref="D555:E555">
    <cfRule type="cellIs" dxfId="2" priority="4" operator="between">
      <formula>0</formula>
      <formula>100000</formula>
    </cfRule>
  </conditionalFormatting>
  <conditionalFormatting sqref="G7:G551">
    <cfRule type="containsText" dxfId="1" priority="9" operator="containsText" text="NON">
      <formula>NOT(ISERROR(SEARCH("NON",G7)))</formula>
    </cfRule>
    <cfRule type="containsText" dxfId="0" priority="10" operator="containsText" text="OUI">
      <formula>NOT(ISERROR(SEARCH("OUI",G7)))</formula>
    </cfRule>
  </conditionalFormatting>
  <pageMargins left="0.82677165354330717" right="0.23622047244094491" top="0.94488188976377963" bottom="0.74803149606299213" header="0.31496062992125984" footer="0.31496062992125984"/>
  <pageSetup paperSize="9" scale="23" orientation="portrait" horizontalDpi="4294967293" verticalDpi="4294967293" r:id="rId1"/>
  <headerFooter>
    <oddHeader>&amp;L&amp;"Arial,Gras"&amp;14LA POSTILLONNE&amp;CSection TRAMPOLINE
&amp;R&amp;D</oddHeader>
  </headerFooter>
  <rowBreaks count="5" manualBreakCount="5">
    <brk id="169" max="6" man="1"/>
    <brk id="624" max="6" man="1"/>
    <brk id="640" max="6" man="1"/>
    <brk id="704" max="6" man="1"/>
    <brk id="756" max="6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9E3E1CE9-24E4-4C5C-979A-FC4DE723BC03}">
            <xm:f>NOT(ISERROR(SEARCH("-",C555)))</xm:f>
            <xm:f>"-"</xm:f>
            <x14:dxf>
              <fill>
                <patternFill>
                  <bgColor rgb="FFFF6464"/>
                </patternFill>
              </fill>
            </x14:dxf>
          </x14:cfRule>
          <xm:sqref>C555:E555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P3:P40"/>
  <sheetViews>
    <sheetView zoomScaleNormal="100" workbookViewId="0">
      <selection activeCell="F553" sqref="F553"/>
    </sheetView>
  </sheetViews>
  <sheetFormatPr baseColWidth="10" defaultRowHeight="12.5" x14ac:dyDescent="0.25"/>
  <cols>
    <col min="13" max="13" width="7" customWidth="1"/>
  </cols>
  <sheetData>
    <row r="3" spans="16:16" x14ac:dyDescent="0.25">
      <c r="P3">
        <f>Compta!D552</f>
        <v>46618.670000000006</v>
      </c>
    </row>
    <row r="40" ht="11.25" customHeight="1" x14ac:dyDescent="0.25"/>
  </sheetData>
  <pageMargins left="0.31496062992125984" right="0.31496062992125984" top="0.45374999999999999" bottom="0.35433070866141736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9:P68"/>
  <sheetViews>
    <sheetView zoomScale="70" zoomScaleNormal="70" workbookViewId="0">
      <selection activeCell="F553" sqref="F553"/>
    </sheetView>
  </sheetViews>
  <sheetFormatPr baseColWidth="10" defaultRowHeight="12.5" x14ac:dyDescent="0.25"/>
  <cols>
    <col min="1" max="1" width="44.90625" customWidth="1"/>
  </cols>
  <sheetData>
    <row r="9" spans="16:16" x14ac:dyDescent="0.25">
      <c r="P9">
        <f>Compta!D553</f>
        <v>45566.230000000025</v>
      </c>
    </row>
    <row r="49" spans="1:1" x14ac:dyDescent="0.25">
      <c r="A49" s="164" t="s">
        <v>43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55</v>
      </c>
    </row>
    <row r="53" spans="1:1" x14ac:dyDescent="0.25">
      <c r="A53" t="s">
        <v>57</v>
      </c>
    </row>
    <row r="54" spans="1:1" x14ac:dyDescent="0.25">
      <c r="A54" t="s">
        <v>62</v>
      </c>
    </row>
    <row r="55" spans="1:1" x14ac:dyDescent="0.25">
      <c r="A55" t="s">
        <v>153</v>
      </c>
    </row>
    <row r="56" spans="1:1" x14ac:dyDescent="0.25">
      <c r="A56" t="s">
        <v>154</v>
      </c>
    </row>
    <row r="57" spans="1:1" x14ac:dyDescent="0.25">
      <c r="A57" t="s">
        <v>65</v>
      </c>
    </row>
    <row r="58" spans="1:1" x14ac:dyDescent="0.25">
      <c r="A58" t="s">
        <v>64</v>
      </c>
    </row>
    <row r="59" spans="1:1" x14ac:dyDescent="0.25">
      <c r="A59" t="s">
        <v>68</v>
      </c>
    </row>
    <row r="60" spans="1:1" x14ac:dyDescent="0.25">
      <c r="A60" t="s">
        <v>69</v>
      </c>
    </row>
    <row r="61" spans="1:1" x14ac:dyDescent="0.25">
      <c r="A61" t="s">
        <v>70</v>
      </c>
    </row>
    <row r="62" spans="1:1" x14ac:dyDescent="0.25">
      <c r="A62" t="s">
        <v>136</v>
      </c>
    </row>
    <row r="63" spans="1:1" x14ac:dyDescent="0.25">
      <c r="A63" t="s">
        <v>88</v>
      </c>
    </row>
    <row r="64" spans="1:1" x14ac:dyDescent="0.25">
      <c r="A64" t="s">
        <v>22</v>
      </c>
    </row>
    <row r="65" spans="1:2" x14ac:dyDescent="0.25">
      <c r="A65" t="s">
        <v>98</v>
      </c>
    </row>
    <row r="66" spans="1:2" x14ac:dyDescent="0.25">
      <c r="A66" t="s">
        <v>101</v>
      </c>
    </row>
    <row r="67" spans="1:2" x14ac:dyDescent="0.25">
      <c r="A67" t="s">
        <v>102</v>
      </c>
    </row>
    <row r="68" spans="1:2" x14ac:dyDescent="0.25">
      <c r="B68">
        <f>SUM(B49:B67)</f>
        <v>0</v>
      </c>
    </row>
  </sheetData>
  <pageMargins left="0.51181102362204722" right="0.31496062992125984" top="0.55118110236220474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Compta</vt:lpstr>
      <vt:lpstr>Bilan</vt:lpstr>
      <vt:lpstr>Code Ligne compte</vt:lpstr>
      <vt:lpstr>Compta (2)</vt:lpstr>
      <vt:lpstr>Recettes</vt:lpstr>
      <vt:lpstr>Dépenses</vt:lpstr>
      <vt:lpstr>Bilan!Zone_d_impression</vt:lpstr>
      <vt:lpstr>'Code Ligne compte'!Zone_d_impression</vt:lpstr>
      <vt:lpstr>Compta!Zone_d_impression</vt:lpstr>
      <vt:lpstr>'Compta (2)'!Zone_d_impression</vt:lpstr>
      <vt:lpstr>Dépenses!Zone_d_impression</vt:lpstr>
      <vt:lpstr>Recettes!Zone_d_impression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Gougay</dc:creator>
  <cp:lastModifiedBy>Abdel MEZGHICHE</cp:lastModifiedBy>
  <cp:lastPrinted>2024-10-03T16:15:44Z</cp:lastPrinted>
  <dcterms:created xsi:type="dcterms:W3CDTF">2004-05-05T18:22:46Z</dcterms:created>
  <dcterms:modified xsi:type="dcterms:W3CDTF">2026-03-10T06:50:53Z</dcterms:modified>
</cp:coreProperties>
</file>